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35" yWindow="8250" windowWidth="15480" windowHeight="3975" tabRatio="351"/>
  </bookViews>
  <sheets>
    <sheet name="Комплекс 1 " sheetId="29" r:id="rId1"/>
    <sheet name="Оценочная1" sheetId="32" r:id="rId2"/>
    <sheet name="Лист1" sheetId="34" r:id="rId3"/>
    <sheet name="Лист2" sheetId="35" r:id="rId4"/>
    <sheet name="Лист3" sheetId="36" r:id="rId5"/>
  </sheets>
  <definedNames>
    <definedName name="_xlnm._FilterDatabase" localSheetId="0" hidden="1">'Комплекс 1 '!$A$5:$G$709</definedName>
    <definedName name="_xlnm.Print_Area" localSheetId="0">'Комплекс 1 '!$A$1:$G$571</definedName>
  </definedNames>
  <calcPr calcId="124519" refMode="R1C1"/>
</workbook>
</file>

<file path=xl/calcChain.xml><?xml version="1.0" encoding="utf-8"?>
<calcChain xmlns="http://schemas.openxmlformats.org/spreadsheetml/2006/main">
  <c r="G563" i="29"/>
  <c r="F563"/>
  <c r="E563"/>
  <c r="D563"/>
  <c r="G546"/>
  <c r="F546"/>
  <c r="E546"/>
  <c r="D546"/>
  <c r="G314"/>
  <c r="F314"/>
  <c r="E314"/>
  <c r="D314"/>
  <c r="G313"/>
  <c r="F313"/>
  <c r="E313"/>
  <c r="D313"/>
  <c r="D17"/>
  <c r="F17"/>
  <c r="G17"/>
  <c r="G51" l="1"/>
  <c r="F51"/>
  <c r="E51"/>
  <c r="D51"/>
  <c r="G560" l="1"/>
  <c r="F560"/>
  <c r="E560"/>
  <c r="D560"/>
  <c r="G531"/>
  <c r="F531"/>
  <c r="E531"/>
  <c r="D531"/>
  <c r="G502"/>
  <c r="F502"/>
  <c r="E502"/>
  <c r="D502"/>
  <c r="G475"/>
  <c r="F475"/>
  <c r="E475"/>
  <c r="D475"/>
  <c r="G446"/>
  <c r="F446"/>
  <c r="E446"/>
  <c r="D446"/>
  <c r="G420"/>
  <c r="F420"/>
  <c r="E420"/>
  <c r="D420"/>
  <c r="G393"/>
  <c r="F393"/>
  <c r="E393"/>
  <c r="D393"/>
  <c r="G365"/>
  <c r="F365"/>
  <c r="E365"/>
  <c r="D365"/>
  <c r="G337"/>
  <c r="F337"/>
  <c r="E337"/>
  <c r="D337"/>
  <c r="G310"/>
  <c r="F310"/>
  <c r="E310"/>
  <c r="D310"/>
  <c r="G281"/>
  <c r="F281"/>
  <c r="E281"/>
  <c r="D281"/>
  <c r="G253"/>
  <c r="F253"/>
  <c r="E253"/>
  <c r="D253"/>
  <c r="G226"/>
  <c r="F226"/>
  <c r="E226"/>
  <c r="D226"/>
  <c r="G199"/>
  <c r="F199"/>
  <c r="E199"/>
  <c r="D199"/>
  <c r="G170"/>
  <c r="F170"/>
  <c r="E170"/>
  <c r="D170"/>
  <c r="G141"/>
  <c r="F141"/>
  <c r="E141"/>
  <c r="D141"/>
  <c r="G112"/>
  <c r="F112"/>
  <c r="E112"/>
  <c r="D112"/>
  <c r="G85"/>
  <c r="F85"/>
  <c r="E85"/>
  <c r="D85"/>
  <c r="G57"/>
  <c r="F57"/>
  <c r="E57"/>
  <c r="D57"/>
  <c r="G27"/>
  <c r="F27"/>
  <c r="E27"/>
  <c r="D27"/>
  <c r="G500" l="1"/>
  <c r="F500"/>
  <c r="E500"/>
  <c r="D500"/>
  <c r="G175"/>
  <c r="F175"/>
  <c r="E175"/>
  <c r="D175"/>
  <c r="G493" l="1"/>
  <c r="F493"/>
  <c r="E493"/>
  <c r="D493"/>
  <c r="G231" l="1"/>
  <c r="F231"/>
  <c r="E231"/>
  <c r="D231"/>
  <c r="G412" l="1"/>
  <c r="F412"/>
  <c r="E412"/>
  <c r="D412"/>
  <c r="G301" l="1"/>
  <c r="F301"/>
  <c r="E301"/>
  <c r="D301"/>
  <c r="G47" l="1"/>
  <c r="F47"/>
  <c r="E47"/>
  <c r="D47"/>
  <c r="G305" l="1"/>
  <c r="F305"/>
  <c r="E305"/>
  <c r="D305"/>
  <c r="D486" l="1"/>
  <c r="E486"/>
  <c r="F486"/>
  <c r="G486"/>
  <c r="G451" l="1"/>
  <c r="F451"/>
  <c r="E451"/>
  <c r="D451"/>
  <c r="G431"/>
  <c r="F431"/>
  <c r="E431"/>
  <c r="D431"/>
  <c r="G405"/>
  <c r="F405"/>
  <c r="E405"/>
  <c r="D405"/>
  <c r="G368"/>
  <c r="F368"/>
  <c r="E368"/>
  <c r="D368"/>
  <c r="G321"/>
  <c r="F321"/>
  <c r="E321"/>
  <c r="D321"/>
  <c r="G294"/>
  <c r="F294"/>
  <c r="E294"/>
  <c r="D294"/>
  <c r="G237"/>
  <c r="F237"/>
  <c r="E237"/>
  <c r="D237"/>
  <c r="G224"/>
  <c r="F224"/>
  <c r="E224"/>
  <c r="D224"/>
  <c r="G210"/>
  <c r="F210"/>
  <c r="E210"/>
  <c r="D210"/>
  <c r="G202"/>
  <c r="F202"/>
  <c r="E202"/>
  <c r="D202"/>
  <c r="G153"/>
  <c r="F153"/>
  <c r="E153"/>
  <c r="D153"/>
  <c r="G117"/>
  <c r="F117"/>
  <c r="E117"/>
  <c r="D117"/>
  <c r="G107"/>
  <c r="F107"/>
  <c r="E107"/>
  <c r="D107"/>
  <c r="G96"/>
  <c r="F96"/>
  <c r="E96"/>
  <c r="D96"/>
  <c r="G30"/>
  <c r="F30"/>
  <c r="E30"/>
  <c r="D30"/>
  <c r="G11"/>
  <c r="F11"/>
  <c r="E11"/>
  <c r="D11"/>
  <c r="C11" i="32" l="1"/>
  <c r="G565" i="29" l="1"/>
  <c r="F565"/>
  <c r="E565"/>
  <c r="D565"/>
  <c r="G564"/>
  <c r="F564"/>
  <c r="E564"/>
  <c r="D564"/>
  <c r="G559"/>
  <c r="F559"/>
  <c r="E559"/>
  <c r="D559"/>
  <c r="G558"/>
  <c r="F558"/>
  <c r="E558"/>
  <c r="D558"/>
  <c r="G557"/>
  <c r="F557"/>
  <c r="E557"/>
  <c r="D557"/>
  <c r="G556"/>
  <c r="F556"/>
  <c r="E556"/>
  <c r="D556"/>
  <c r="G555"/>
  <c r="F555"/>
  <c r="E555"/>
  <c r="D555"/>
  <c r="G554"/>
  <c r="F554"/>
  <c r="E554"/>
  <c r="D554"/>
  <c r="G551"/>
  <c r="F551"/>
  <c r="E551"/>
  <c r="E552" s="1"/>
  <c r="D551"/>
  <c r="G550"/>
  <c r="F550"/>
  <c r="D550"/>
  <c r="G545"/>
  <c r="F545"/>
  <c r="E545"/>
  <c r="D545"/>
  <c r="G544"/>
  <c r="F544"/>
  <c r="E544"/>
  <c r="D544"/>
  <c r="G543"/>
  <c r="F543"/>
  <c r="E543"/>
  <c r="D543"/>
  <c r="G538"/>
  <c r="F538"/>
  <c r="E538"/>
  <c r="D538"/>
  <c r="G537"/>
  <c r="F537"/>
  <c r="E537"/>
  <c r="D537"/>
  <c r="G536"/>
  <c r="F536"/>
  <c r="E536"/>
  <c r="D536"/>
  <c r="G535"/>
  <c r="F535"/>
  <c r="E535"/>
  <c r="D535"/>
  <c r="G534"/>
  <c r="F534"/>
  <c r="E534"/>
  <c r="D534"/>
  <c r="G530"/>
  <c r="F530"/>
  <c r="E530"/>
  <c r="D530"/>
  <c r="G529"/>
  <c r="F529"/>
  <c r="E529"/>
  <c r="D529"/>
  <c r="G528"/>
  <c r="F528"/>
  <c r="E528"/>
  <c r="D528"/>
  <c r="G527"/>
  <c r="F527"/>
  <c r="E527"/>
  <c r="D527"/>
  <c r="G526"/>
  <c r="F526"/>
  <c r="E526"/>
  <c r="D526"/>
  <c r="G525"/>
  <c r="F525"/>
  <c r="E525"/>
  <c r="D525"/>
  <c r="G524"/>
  <c r="F524"/>
  <c r="E524"/>
  <c r="D524"/>
  <c r="G521"/>
  <c r="F521"/>
  <c r="E521"/>
  <c r="E522" s="1"/>
  <c r="D521"/>
  <c r="G520"/>
  <c r="F520"/>
  <c r="D520"/>
  <c r="G517"/>
  <c r="F517"/>
  <c r="E517"/>
  <c r="D517"/>
  <c r="G516"/>
  <c r="F516"/>
  <c r="E516"/>
  <c r="D516"/>
  <c r="G515"/>
  <c r="F515"/>
  <c r="E515"/>
  <c r="D515"/>
  <c r="G514"/>
  <c r="F514"/>
  <c r="E514"/>
  <c r="D514"/>
  <c r="G509"/>
  <c r="F509"/>
  <c r="E509"/>
  <c r="D509"/>
  <c r="G508"/>
  <c r="F508"/>
  <c r="E508"/>
  <c r="D508"/>
  <c r="G507"/>
  <c r="F507"/>
  <c r="E507"/>
  <c r="D507"/>
  <c r="G506"/>
  <c r="F506"/>
  <c r="E506"/>
  <c r="D506"/>
  <c r="G505"/>
  <c r="F505"/>
  <c r="E505"/>
  <c r="D505"/>
  <c r="G501"/>
  <c r="F501"/>
  <c r="E501"/>
  <c r="D501"/>
  <c r="G499"/>
  <c r="F499"/>
  <c r="E499"/>
  <c r="D499"/>
  <c r="G498"/>
  <c r="F498"/>
  <c r="E498"/>
  <c r="D498"/>
  <c r="G497"/>
  <c r="F497"/>
  <c r="E497"/>
  <c r="D497"/>
  <c r="G496"/>
  <c r="F496"/>
  <c r="E496"/>
  <c r="D496"/>
  <c r="E494"/>
  <c r="G492"/>
  <c r="F492"/>
  <c r="D492"/>
  <c r="D494" s="1"/>
  <c r="G489"/>
  <c r="F489"/>
  <c r="E489"/>
  <c r="D489"/>
  <c r="G488"/>
  <c r="F488"/>
  <c r="E488"/>
  <c r="D488"/>
  <c r="G487"/>
  <c r="F487"/>
  <c r="E487"/>
  <c r="D487"/>
  <c r="G481"/>
  <c r="F481"/>
  <c r="E481"/>
  <c r="D481"/>
  <c r="G480"/>
  <c r="F480"/>
  <c r="E480"/>
  <c r="D480"/>
  <c r="G479"/>
  <c r="F479"/>
  <c r="E479"/>
  <c r="D479"/>
  <c r="G478"/>
  <c r="F478"/>
  <c r="E478"/>
  <c r="D478"/>
  <c r="G474"/>
  <c r="F474"/>
  <c r="E474"/>
  <c r="D474"/>
  <c r="G473"/>
  <c r="F473"/>
  <c r="E473"/>
  <c r="D473"/>
  <c r="G472"/>
  <c r="F472"/>
  <c r="E472"/>
  <c r="D472"/>
  <c r="G471"/>
  <c r="F471"/>
  <c r="E471"/>
  <c r="D471"/>
  <c r="G470"/>
  <c r="F470"/>
  <c r="E470"/>
  <c r="D470"/>
  <c r="G469"/>
  <c r="F469"/>
  <c r="E469"/>
  <c r="D469"/>
  <c r="G466"/>
  <c r="F466"/>
  <c r="E466"/>
  <c r="E467" s="1"/>
  <c r="D466"/>
  <c r="G465"/>
  <c r="F465"/>
  <c r="D465"/>
  <c r="D467" s="1"/>
  <c r="G462"/>
  <c r="F462"/>
  <c r="E462"/>
  <c r="D462"/>
  <c r="G461"/>
  <c r="F461"/>
  <c r="E461"/>
  <c r="D461"/>
  <c r="G460"/>
  <c r="F460"/>
  <c r="E460"/>
  <c r="D460"/>
  <c r="G459"/>
  <c r="F459"/>
  <c r="E459"/>
  <c r="D459"/>
  <c r="G458"/>
  <c r="F458"/>
  <c r="E458"/>
  <c r="D458"/>
  <c r="G453"/>
  <c r="F453"/>
  <c r="E453"/>
  <c r="D453"/>
  <c r="G452"/>
  <c r="F452"/>
  <c r="E452"/>
  <c r="D452"/>
  <c r="G450"/>
  <c r="F450"/>
  <c r="E450"/>
  <c r="D450"/>
  <c r="G449"/>
  <c r="F449"/>
  <c r="E449"/>
  <c r="D449"/>
  <c r="G445"/>
  <c r="F445"/>
  <c r="E445"/>
  <c r="D445"/>
  <c r="G444"/>
  <c r="F444"/>
  <c r="E444"/>
  <c r="D444"/>
  <c r="G443"/>
  <c r="F443"/>
  <c r="E443"/>
  <c r="D443"/>
  <c r="G442"/>
  <c r="F442"/>
  <c r="E442"/>
  <c r="D442"/>
  <c r="G441"/>
  <c r="F441"/>
  <c r="E441"/>
  <c r="D441"/>
  <c r="G438"/>
  <c r="F438"/>
  <c r="E438"/>
  <c r="E439" s="1"/>
  <c r="D438"/>
  <c r="G437"/>
  <c r="F437"/>
  <c r="D437"/>
  <c r="G434"/>
  <c r="F434"/>
  <c r="E434"/>
  <c r="D434"/>
  <c r="G433"/>
  <c r="F433"/>
  <c r="E433"/>
  <c r="D433"/>
  <c r="G432"/>
  <c r="F432"/>
  <c r="E432"/>
  <c r="D432"/>
  <c r="G425"/>
  <c r="F425"/>
  <c r="E425"/>
  <c r="D425"/>
  <c r="G424"/>
  <c r="F424"/>
  <c r="E424"/>
  <c r="D424"/>
  <c r="G423"/>
  <c r="F423"/>
  <c r="E423"/>
  <c r="D423"/>
  <c r="G419"/>
  <c r="F419"/>
  <c r="E419"/>
  <c r="D419"/>
  <c r="G418"/>
  <c r="F418"/>
  <c r="E418"/>
  <c r="D418"/>
  <c r="G417"/>
  <c r="F417"/>
  <c r="E417"/>
  <c r="D417"/>
  <c r="G416"/>
  <c r="F416"/>
  <c r="E416"/>
  <c r="D416"/>
  <c r="G415"/>
  <c r="F415"/>
  <c r="E415"/>
  <c r="D415"/>
  <c r="E413"/>
  <c r="G411"/>
  <c r="F411"/>
  <c r="D411"/>
  <c r="D413" s="1"/>
  <c r="G408"/>
  <c r="F408"/>
  <c r="E408"/>
  <c r="D408"/>
  <c r="G407"/>
  <c r="F407"/>
  <c r="E407"/>
  <c r="D407"/>
  <c r="G406"/>
  <c r="F406"/>
  <c r="E406"/>
  <c r="D406"/>
  <c r="G400"/>
  <c r="F400"/>
  <c r="E400"/>
  <c r="D400"/>
  <c r="G399"/>
  <c r="F399"/>
  <c r="E399"/>
  <c r="D399"/>
  <c r="G398"/>
  <c r="F398"/>
  <c r="E398"/>
  <c r="D398"/>
  <c r="G397"/>
  <c r="F397"/>
  <c r="E397"/>
  <c r="D397"/>
  <c r="G396"/>
  <c r="F396"/>
  <c r="E396"/>
  <c r="D396"/>
  <c r="G392"/>
  <c r="F392"/>
  <c r="E392"/>
  <c r="D392"/>
  <c r="G391"/>
  <c r="F391"/>
  <c r="E391"/>
  <c r="D391"/>
  <c r="G390"/>
  <c r="F390"/>
  <c r="E390"/>
  <c r="D390"/>
  <c r="G389"/>
  <c r="F389"/>
  <c r="E389"/>
  <c r="D389"/>
  <c r="G388"/>
  <c r="F388"/>
  <c r="E388"/>
  <c r="D388"/>
  <c r="G387"/>
  <c r="F387"/>
  <c r="E387"/>
  <c r="D387"/>
  <c r="G384"/>
  <c r="F384"/>
  <c r="E384"/>
  <c r="E385" s="1"/>
  <c r="D384"/>
  <c r="G383"/>
  <c r="F383"/>
  <c r="D383"/>
  <c r="G380"/>
  <c r="F380"/>
  <c r="E380"/>
  <c r="D380"/>
  <c r="G379"/>
  <c r="F379"/>
  <c r="E379"/>
  <c r="D379"/>
  <c r="G378"/>
  <c r="F378"/>
  <c r="E378"/>
  <c r="D378"/>
  <c r="G377"/>
  <c r="F377"/>
  <c r="E377"/>
  <c r="D377"/>
  <c r="G376"/>
  <c r="F376"/>
  <c r="E376"/>
  <c r="D376"/>
  <c r="G371"/>
  <c r="F371"/>
  <c r="E371"/>
  <c r="D371"/>
  <c r="G370"/>
  <c r="F370"/>
  <c r="E370"/>
  <c r="D370"/>
  <c r="G369"/>
  <c r="F369"/>
  <c r="E369"/>
  <c r="D369"/>
  <c r="G364"/>
  <c r="F364"/>
  <c r="E364"/>
  <c r="D364"/>
  <c r="G363"/>
  <c r="F363"/>
  <c r="E363"/>
  <c r="D363"/>
  <c r="G362"/>
  <c r="F362"/>
  <c r="E362"/>
  <c r="D362"/>
  <c r="G361"/>
  <c r="F361"/>
  <c r="E361"/>
  <c r="D361"/>
  <c r="G360"/>
  <c r="F360"/>
  <c r="E360"/>
  <c r="D360"/>
  <c r="G359"/>
  <c r="F359"/>
  <c r="E359"/>
  <c r="D359"/>
  <c r="G356"/>
  <c r="F356"/>
  <c r="E356"/>
  <c r="E357" s="1"/>
  <c r="D356"/>
  <c r="G355"/>
  <c r="F355"/>
  <c r="D355"/>
  <c r="D357" s="1"/>
  <c r="G352"/>
  <c r="F352"/>
  <c r="E352"/>
  <c r="D352"/>
  <c r="G351"/>
  <c r="F351"/>
  <c r="E351"/>
  <c r="D351"/>
  <c r="G350"/>
  <c r="F350"/>
  <c r="E350"/>
  <c r="D350"/>
  <c r="G349"/>
  <c r="F349"/>
  <c r="E349"/>
  <c r="D349"/>
  <c r="G348"/>
  <c r="F348"/>
  <c r="E348"/>
  <c r="D348"/>
  <c r="G343"/>
  <c r="F343"/>
  <c r="E343"/>
  <c r="D343"/>
  <c r="G342"/>
  <c r="F342"/>
  <c r="E342"/>
  <c r="D342"/>
  <c r="G341"/>
  <c r="F341"/>
  <c r="E341"/>
  <c r="D341"/>
  <c r="G340"/>
  <c r="F340"/>
  <c r="E340"/>
  <c r="D340"/>
  <c r="G336"/>
  <c r="F336"/>
  <c r="E336"/>
  <c r="D336"/>
  <c r="G335"/>
  <c r="F335"/>
  <c r="E335"/>
  <c r="D335"/>
  <c r="G334"/>
  <c r="F334"/>
  <c r="E334"/>
  <c r="D334"/>
  <c r="G333"/>
  <c r="F333"/>
  <c r="E333"/>
  <c r="D333"/>
  <c r="G332"/>
  <c r="F332"/>
  <c r="E332"/>
  <c r="D332"/>
  <c r="G331"/>
  <c r="F331"/>
  <c r="E331"/>
  <c r="D331"/>
  <c r="G328"/>
  <c r="F328"/>
  <c r="E328"/>
  <c r="E329" s="1"/>
  <c r="D328"/>
  <c r="G327"/>
  <c r="F327"/>
  <c r="D327"/>
  <c r="D329" s="1"/>
  <c r="G324"/>
  <c r="F324"/>
  <c r="E324"/>
  <c r="D324"/>
  <c r="G323"/>
  <c r="F323"/>
  <c r="E323"/>
  <c r="D323"/>
  <c r="G322"/>
  <c r="F322"/>
  <c r="E322"/>
  <c r="D322"/>
  <c r="G316"/>
  <c r="F316"/>
  <c r="E316"/>
  <c r="D316"/>
  <c r="G315"/>
  <c r="F315"/>
  <c r="E315"/>
  <c r="D315"/>
  <c r="G309"/>
  <c r="F309"/>
  <c r="E309"/>
  <c r="D309"/>
  <c r="G308"/>
  <c r="F308"/>
  <c r="E308"/>
  <c r="D308"/>
  <c r="G307"/>
  <c r="F307"/>
  <c r="E307"/>
  <c r="D307"/>
  <c r="G306"/>
  <c r="F306"/>
  <c r="E306"/>
  <c r="D306"/>
  <c r="G304"/>
  <c r="F304"/>
  <c r="E304"/>
  <c r="D304"/>
  <c r="E302"/>
  <c r="G300"/>
  <c r="F300"/>
  <c r="D300"/>
  <c r="D302" s="1"/>
  <c r="G297"/>
  <c r="F297"/>
  <c r="E297"/>
  <c r="D297"/>
  <c r="G296"/>
  <c r="F296"/>
  <c r="E296"/>
  <c r="D296"/>
  <c r="G295"/>
  <c r="F295"/>
  <c r="E295"/>
  <c r="D295"/>
  <c r="G288"/>
  <c r="F288"/>
  <c r="E288"/>
  <c r="D288"/>
  <c r="G287"/>
  <c r="F287"/>
  <c r="E287"/>
  <c r="D287"/>
  <c r="G286"/>
  <c r="F286"/>
  <c r="E286"/>
  <c r="D286"/>
  <c r="G285"/>
  <c r="F285"/>
  <c r="E285"/>
  <c r="D285"/>
  <c r="G284"/>
  <c r="F284"/>
  <c r="E284"/>
  <c r="D284"/>
  <c r="G280"/>
  <c r="F280"/>
  <c r="E280"/>
  <c r="D280"/>
  <c r="G279"/>
  <c r="F279"/>
  <c r="E279"/>
  <c r="D279"/>
  <c r="G278"/>
  <c r="F278"/>
  <c r="E278"/>
  <c r="D278"/>
  <c r="G277"/>
  <c r="F277"/>
  <c r="E277"/>
  <c r="D277"/>
  <c r="G276"/>
  <c r="F276"/>
  <c r="E276"/>
  <c r="D276"/>
  <c r="G275"/>
  <c r="F275"/>
  <c r="E275"/>
  <c r="D275"/>
  <c r="G272"/>
  <c r="F272"/>
  <c r="E272"/>
  <c r="E273" s="1"/>
  <c r="D272"/>
  <c r="G271"/>
  <c r="F271"/>
  <c r="D271"/>
  <c r="G268"/>
  <c r="F268"/>
  <c r="E268"/>
  <c r="D268"/>
  <c r="G267"/>
  <c r="F267"/>
  <c r="E267"/>
  <c r="D267"/>
  <c r="G266"/>
  <c r="F266"/>
  <c r="E266"/>
  <c r="D266"/>
  <c r="G265"/>
  <c r="F265"/>
  <c r="E265"/>
  <c r="D265"/>
  <c r="G260"/>
  <c r="F260"/>
  <c r="E260"/>
  <c r="D260"/>
  <c r="G259"/>
  <c r="F259"/>
  <c r="E259"/>
  <c r="D259"/>
  <c r="G258"/>
  <c r="F258"/>
  <c r="E258"/>
  <c r="D258"/>
  <c r="G257"/>
  <c r="F257"/>
  <c r="E257"/>
  <c r="D257"/>
  <c r="G256"/>
  <c r="F256"/>
  <c r="E256"/>
  <c r="D256"/>
  <c r="G252"/>
  <c r="F252"/>
  <c r="E252"/>
  <c r="D252"/>
  <c r="G251"/>
  <c r="F251"/>
  <c r="E251"/>
  <c r="D251"/>
  <c r="G250"/>
  <c r="F250"/>
  <c r="E250"/>
  <c r="D250"/>
  <c r="G249"/>
  <c r="F249"/>
  <c r="E249"/>
  <c r="D249"/>
  <c r="G248"/>
  <c r="F248"/>
  <c r="E248"/>
  <c r="D248"/>
  <c r="G245"/>
  <c r="F245"/>
  <c r="E245"/>
  <c r="E246" s="1"/>
  <c r="D245"/>
  <c r="G244"/>
  <c r="F244"/>
  <c r="D244"/>
  <c r="D246" s="1"/>
  <c r="G241"/>
  <c r="F241"/>
  <c r="E241"/>
  <c r="D241"/>
  <c r="G240"/>
  <c r="F240"/>
  <c r="E240"/>
  <c r="D240"/>
  <c r="G239"/>
  <c r="F239"/>
  <c r="E239"/>
  <c r="D239"/>
  <c r="G238"/>
  <c r="F238"/>
  <c r="E238"/>
  <c r="D238"/>
  <c r="G232"/>
  <c r="F232"/>
  <c r="E232"/>
  <c r="D232"/>
  <c r="G230"/>
  <c r="F230"/>
  <c r="E230"/>
  <c r="D230"/>
  <c r="G229"/>
  <c r="F229"/>
  <c r="E229"/>
  <c r="D229"/>
  <c r="G225"/>
  <c r="F225"/>
  <c r="E225"/>
  <c r="D225"/>
  <c r="G223"/>
  <c r="F223"/>
  <c r="E223"/>
  <c r="D223"/>
  <c r="G222"/>
  <c r="F222"/>
  <c r="E222"/>
  <c r="D222"/>
  <c r="G221"/>
  <c r="F221"/>
  <c r="E221"/>
  <c r="D221"/>
  <c r="G220"/>
  <c r="F220"/>
  <c r="E220"/>
  <c r="D220"/>
  <c r="G217"/>
  <c r="F217"/>
  <c r="E217"/>
  <c r="E218" s="1"/>
  <c r="D217"/>
  <c r="G216"/>
  <c r="F216"/>
  <c r="D216"/>
  <c r="D218" s="1"/>
  <c r="G213"/>
  <c r="F213"/>
  <c r="E213"/>
  <c r="D213"/>
  <c r="G212"/>
  <c r="F212"/>
  <c r="E212"/>
  <c r="D212"/>
  <c r="G211"/>
  <c r="F211"/>
  <c r="E211"/>
  <c r="D211"/>
  <c r="G205"/>
  <c r="F205"/>
  <c r="E205"/>
  <c r="D205"/>
  <c r="G204"/>
  <c r="F204"/>
  <c r="E204"/>
  <c r="D204"/>
  <c r="G203"/>
  <c r="F203"/>
  <c r="E203"/>
  <c r="D203"/>
  <c r="G198"/>
  <c r="F198"/>
  <c r="E198"/>
  <c r="D198"/>
  <c r="G197"/>
  <c r="F197"/>
  <c r="E197"/>
  <c r="D197"/>
  <c r="G196"/>
  <c r="F196"/>
  <c r="E196"/>
  <c r="D196"/>
  <c r="G195"/>
  <c r="F195"/>
  <c r="E195"/>
  <c r="D195"/>
  <c r="G194"/>
  <c r="F194"/>
  <c r="E194"/>
  <c r="D194"/>
  <c r="G193"/>
  <c r="F193"/>
  <c r="E193"/>
  <c r="D193"/>
  <c r="G190"/>
  <c r="F190"/>
  <c r="E190"/>
  <c r="E191" s="1"/>
  <c r="D190"/>
  <c r="G189"/>
  <c r="F189"/>
  <c r="D189"/>
  <c r="D191" s="1"/>
  <c r="G186"/>
  <c r="F186"/>
  <c r="E186"/>
  <c r="D186"/>
  <c r="G185"/>
  <c r="F185"/>
  <c r="E185"/>
  <c r="D185"/>
  <c r="G184"/>
  <c r="F184"/>
  <c r="E184"/>
  <c r="D184"/>
  <c r="G183"/>
  <c r="F183"/>
  <c r="E183"/>
  <c r="D183"/>
  <c r="G182"/>
  <c r="F182"/>
  <c r="E182"/>
  <c r="D182"/>
  <c r="G176"/>
  <c r="F176"/>
  <c r="E176"/>
  <c r="D176"/>
  <c r="G174"/>
  <c r="F174"/>
  <c r="E174"/>
  <c r="D174"/>
  <c r="G173"/>
  <c r="F173"/>
  <c r="E173"/>
  <c r="D173"/>
  <c r="G169"/>
  <c r="F169"/>
  <c r="E169"/>
  <c r="D169"/>
  <c r="G168"/>
  <c r="F168"/>
  <c r="E168"/>
  <c r="D168"/>
  <c r="G167"/>
  <c r="F167"/>
  <c r="E167"/>
  <c r="D167"/>
  <c r="G166"/>
  <c r="F166"/>
  <c r="E166"/>
  <c r="D166"/>
  <c r="G165"/>
  <c r="F165"/>
  <c r="E165"/>
  <c r="D165"/>
  <c r="G164"/>
  <c r="F164"/>
  <c r="E164"/>
  <c r="D164"/>
  <c r="G163"/>
  <c r="F163"/>
  <c r="E163"/>
  <c r="D163"/>
  <c r="G160"/>
  <c r="F160"/>
  <c r="E160"/>
  <c r="E161" s="1"/>
  <c r="D160"/>
  <c r="G159"/>
  <c r="F159"/>
  <c r="D159"/>
  <c r="G156"/>
  <c r="F156"/>
  <c r="E156"/>
  <c r="D156"/>
  <c r="G155"/>
  <c r="F155"/>
  <c r="E155"/>
  <c r="D155"/>
  <c r="G154"/>
  <c r="F154"/>
  <c r="E154"/>
  <c r="D154"/>
  <c r="G147"/>
  <c r="F147"/>
  <c r="E147"/>
  <c r="D147"/>
  <c r="G146"/>
  <c r="F146"/>
  <c r="E146"/>
  <c r="D146"/>
  <c r="G145"/>
  <c r="F145"/>
  <c r="E145"/>
  <c r="D145"/>
  <c r="G144"/>
  <c r="F144"/>
  <c r="E144"/>
  <c r="D144"/>
  <c r="G140"/>
  <c r="F140"/>
  <c r="E140"/>
  <c r="D140"/>
  <c r="G139"/>
  <c r="F139"/>
  <c r="E139"/>
  <c r="D139"/>
  <c r="G138"/>
  <c r="F138"/>
  <c r="E138"/>
  <c r="D138"/>
  <c r="G137"/>
  <c r="F137"/>
  <c r="E137"/>
  <c r="D137"/>
  <c r="G136"/>
  <c r="F136"/>
  <c r="E136"/>
  <c r="D136"/>
  <c r="G135"/>
  <c r="F135"/>
  <c r="E135"/>
  <c r="D135"/>
  <c r="G132"/>
  <c r="F132"/>
  <c r="E132"/>
  <c r="E133" s="1"/>
  <c r="D132"/>
  <c r="G131"/>
  <c r="F131"/>
  <c r="D131"/>
  <c r="D133" s="1"/>
  <c r="G128"/>
  <c r="F128"/>
  <c r="E128"/>
  <c r="D128"/>
  <c r="G127"/>
  <c r="F127"/>
  <c r="E127"/>
  <c r="D127"/>
  <c r="G126"/>
  <c r="F126"/>
  <c r="E126"/>
  <c r="D126"/>
  <c r="G125"/>
  <c r="F125"/>
  <c r="E125"/>
  <c r="D125"/>
  <c r="G124"/>
  <c r="F124"/>
  <c r="E124"/>
  <c r="D124"/>
  <c r="G119"/>
  <c r="F119"/>
  <c r="E119"/>
  <c r="D119"/>
  <c r="G118"/>
  <c r="F118"/>
  <c r="E118"/>
  <c r="D118"/>
  <c r="G116"/>
  <c r="F116"/>
  <c r="E116"/>
  <c r="D116"/>
  <c r="G115"/>
  <c r="F115"/>
  <c r="E115"/>
  <c r="D115"/>
  <c r="G111"/>
  <c r="F111"/>
  <c r="E111"/>
  <c r="D111"/>
  <c r="G110"/>
  <c r="F110"/>
  <c r="E110"/>
  <c r="D110"/>
  <c r="G109"/>
  <c r="F109"/>
  <c r="E109"/>
  <c r="D109"/>
  <c r="G108"/>
  <c r="F108"/>
  <c r="E108"/>
  <c r="D108"/>
  <c r="G106"/>
  <c r="F106"/>
  <c r="E106"/>
  <c r="D106"/>
  <c r="G103"/>
  <c r="F103"/>
  <c r="E103"/>
  <c r="E104" s="1"/>
  <c r="D103"/>
  <c r="G102"/>
  <c r="F102"/>
  <c r="D102"/>
  <c r="D104" s="1"/>
  <c r="G99"/>
  <c r="F99"/>
  <c r="E99"/>
  <c r="D99"/>
  <c r="G98"/>
  <c r="F98"/>
  <c r="E98"/>
  <c r="D98"/>
  <c r="G97"/>
  <c r="F97"/>
  <c r="E97"/>
  <c r="D97"/>
  <c r="G91"/>
  <c r="F91"/>
  <c r="E91"/>
  <c r="D91"/>
  <c r="G90"/>
  <c r="F90"/>
  <c r="E90"/>
  <c r="D90"/>
  <c r="G89"/>
  <c r="F89"/>
  <c r="E89"/>
  <c r="D89"/>
  <c r="G84"/>
  <c r="F84"/>
  <c r="E84"/>
  <c r="D84"/>
  <c r="G83"/>
  <c r="F83"/>
  <c r="E83"/>
  <c r="D83"/>
  <c r="G82"/>
  <c r="F82"/>
  <c r="E82"/>
  <c r="D82"/>
  <c r="G81"/>
  <c r="F81"/>
  <c r="E81"/>
  <c r="D81"/>
  <c r="G80"/>
  <c r="F80"/>
  <c r="E80"/>
  <c r="D80"/>
  <c r="G79"/>
  <c r="F79"/>
  <c r="E79"/>
  <c r="D79"/>
  <c r="G78"/>
  <c r="F78"/>
  <c r="E78"/>
  <c r="D78"/>
  <c r="G75"/>
  <c r="F75"/>
  <c r="E75"/>
  <c r="E76" s="1"/>
  <c r="D75"/>
  <c r="G74"/>
  <c r="F74"/>
  <c r="D74"/>
  <c r="G71"/>
  <c r="F71"/>
  <c r="E71"/>
  <c r="D71"/>
  <c r="G70"/>
  <c r="F70"/>
  <c r="E70"/>
  <c r="D70"/>
  <c r="G69"/>
  <c r="F69"/>
  <c r="E69"/>
  <c r="D69"/>
  <c r="G68"/>
  <c r="F68"/>
  <c r="E68"/>
  <c r="D68"/>
  <c r="G63"/>
  <c r="F63"/>
  <c r="E63"/>
  <c r="D63"/>
  <c r="G62"/>
  <c r="F62"/>
  <c r="E62"/>
  <c r="D62"/>
  <c r="G61"/>
  <c r="F61"/>
  <c r="E61"/>
  <c r="D61"/>
  <c r="G60"/>
  <c r="F60"/>
  <c r="E60"/>
  <c r="D60"/>
  <c r="G56"/>
  <c r="F56"/>
  <c r="E56"/>
  <c r="D56"/>
  <c r="G55"/>
  <c r="F55"/>
  <c r="E55"/>
  <c r="D55"/>
  <c r="G54"/>
  <c r="F54"/>
  <c r="E54"/>
  <c r="D54"/>
  <c r="G53"/>
  <c r="F53"/>
  <c r="E53"/>
  <c r="D53"/>
  <c r="G52"/>
  <c r="F52"/>
  <c r="E52"/>
  <c r="D52"/>
  <c r="G50"/>
  <c r="F50"/>
  <c r="E50"/>
  <c r="D50"/>
  <c r="E48"/>
  <c r="G46"/>
  <c r="F46"/>
  <c r="D46"/>
  <c r="D48" s="1"/>
  <c r="G43"/>
  <c r="F43"/>
  <c r="E43"/>
  <c r="D43"/>
  <c r="G42"/>
  <c r="F42"/>
  <c r="E42"/>
  <c r="D42"/>
  <c r="G41"/>
  <c r="F41"/>
  <c r="E41"/>
  <c r="D41"/>
  <c r="G40"/>
  <c r="F40"/>
  <c r="E40"/>
  <c r="D40"/>
  <c r="G39"/>
  <c r="F39"/>
  <c r="E39"/>
  <c r="D39"/>
  <c r="G34"/>
  <c r="F34"/>
  <c r="E34"/>
  <c r="D34"/>
  <c r="G33"/>
  <c r="F33"/>
  <c r="E33"/>
  <c r="D33"/>
  <c r="G32"/>
  <c r="F32"/>
  <c r="E32"/>
  <c r="D32"/>
  <c r="G31"/>
  <c r="F31"/>
  <c r="E31"/>
  <c r="D31"/>
  <c r="G26"/>
  <c r="F26"/>
  <c r="E26"/>
  <c r="D26"/>
  <c r="G25"/>
  <c r="F25"/>
  <c r="E25"/>
  <c r="D25"/>
  <c r="G24"/>
  <c r="F24"/>
  <c r="E24"/>
  <c r="D24"/>
  <c r="G23"/>
  <c r="F23"/>
  <c r="E23"/>
  <c r="D23"/>
  <c r="G22"/>
  <c r="F22"/>
  <c r="E22"/>
  <c r="D22"/>
  <c r="G21"/>
  <c r="F21"/>
  <c r="E21"/>
  <c r="D21"/>
  <c r="G18"/>
  <c r="F18"/>
  <c r="E18"/>
  <c r="E19" s="1"/>
  <c r="D18"/>
  <c r="D19" s="1"/>
  <c r="G14"/>
  <c r="F14"/>
  <c r="E14"/>
  <c r="D14"/>
  <c r="G13"/>
  <c r="F13"/>
  <c r="E13"/>
  <c r="D13"/>
  <c r="G12"/>
  <c r="F12"/>
  <c r="E12"/>
  <c r="D12"/>
  <c r="D161" l="1"/>
  <c r="D273"/>
  <c r="D439"/>
  <c r="E35"/>
  <c r="D76"/>
  <c r="D385"/>
  <c r="D522"/>
  <c r="D552"/>
  <c r="D35"/>
  <c r="E421"/>
  <c r="G426"/>
  <c r="E482"/>
  <c r="D421"/>
  <c r="F426"/>
  <c r="D482"/>
  <c r="F532"/>
  <c r="G421"/>
  <c r="E426"/>
  <c r="G482"/>
  <c r="F35"/>
  <c r="F421"/>
  <c r="D426"/>
  <c r="F482"/>
  <c r="D532"/>
  <c r="E539"/>
  <c r="G539"/>
  <c r="D548"/>
  <c r="F548"/>
  <c r="E561"/>
  <c r="G561"/>
  <c r="D490"/>
  <c r="F490"/>
  <c r="E532"/>
  <c r="G532"/>
  <c r="D539"/>
  <c r="F539"/>
  <c r="E548"/>
  <c r="G548"/>
  <c r="D561"/>
  <c r="F561"/>
  <c r="G129"/>
  <c r="G214"/>
  <c r="E490"/>
  <c r="G490"/>
  <c r="E372"/>
  <c r="G372"/>
  <c r="E120"/>
  <c r="G120"/>
  <c r="E227"/>
  <c r="G227"/>
  <c r="D372"/>
  <c r="F372"/>
  <c r="E113"/>
  <c r="G113"/>
  <c r="D227"/>
  <c r="F227"/>
  <c r="E44"/>
  <c r="G44"/>
  <c r="D113"/>
  <c r="F113"/>
  <c r="D120"/>
  <c r="F120"/>
  <c r="F218"/>
  <c r="E233"/>
  <c r="G233"/>
  <c r="G246"/>
  <c r="D254"/>
  <c r="F254"/>
  <c r="E261"/>
  <c r="G261"/>
  <c r="D269"/>
  <c r="F269"/>
  <c r="F273"/>
  <c r="E282"/>
  <c r="G282"/>
  <c r="E289"/>
  <c r="G289"/>
  <c r="G302"/>
  <c r="D317"/>
  <c r="F317"/>
  <c r="G329"/>
  <c r="D338"/>
  <c r="F338"/>
  <c r="D344"/>
  <c r="F344"/>
  <c r="D353"/>
  <c r="F353"/>
  <c r="G357"/>
  <c r="D366"/>
  <c r="F366"/>
  <c r="D381"/>
  <c r="F381"/>
  <c r="G385"/>
  <c r="D394"/>
  <c r="F394"/>
  <c r="G413"/>
  <c r="F439"/>
  <c r="E447"/>
  <c r="G447"/>
  <c r="D454"/>
  <c r="F454"/>
  <c r="E463"/>
  <c r="G463"/>
  <c r="F467"/>
  <c r="E476"/>
  <c r="G476"/>
  <c r="F494"/>
  <c r="E503"/>
  <c r="G503"/>
  <c r="E510"/>
  <c r="G510"/>
  <c r="D518"/>
  <c r="F518"/>
  <c r="G522"/>
  <c r="F552"/>
  <c r="E566"/>
  <c r="G566"/>
  <c r="D15" a="1"/>
  <c r="D15" s="1"/>
  <c r="F15" a="1"/>
  <c r="F15" s="1"/>
  <c r="G19"/>
  <c r="D28"/>
  <c r="F28"/>
  <c r="D311"/>
  <c r="F311"/>
  <c r="D401"/>
  <c r="F401"/>
  <c r="E409"/>
  <c r="G409"/>
  <c r="E435"/>
  <c r="G435"/>
  <c r="E15" a="1"/>
  <c r="E15" s="1"/>
  <c r="D261"/>
  <c r="F261"/>
  <c r="E311"/>
  <c r="G311"/>
  <c r="E401"/>
  <c r="G401"/>
  <c r="D409"/>
  <c r="F409"/>
  <c r="D435"/>
  <c r="F435"/>
  <c r="D64"/>
  <c r="E142"/>
  <c r="G142"/>
  <c r="D171"/>
  <c r="F171"/>
  <c r="E206"/>
  <c r="G206"/>
  <c r="D142"/>
  <c r="F142"/>
  <c r="E171"/>
  <c r="G171"/>
  <c r="D206"/>
  <c r="F206"/>
  <c r="E381"/>
  <c r="G381"/>
  <c r="F385"/>
  <c r="E394"/>
  <c r="G394"/>
  <c r="F413"/>
  <c r="G439"/>
  <c r="D447"/>
  <c r="F447"/>
  <c r="E454"/>
  <c r="G454"/>
  <c r="D463"/>
  <c r="F463"/>
  <c r="G467"/>
  <c r="D476"/>
  <c r="F476"/>
  <c r="G494"/>
  <c r="D503"/>
  <c r="F503"/>
  <c r="D510"/>
  <c r="F510"/>
  <c r="E518"/>
  <c r="G518"/>
  <c r="F522"/>
  <c r="G552"/>
  <c r="D566"/>
  <c r="F566"/>
  <c r="D44"/>
  <c r="F44"/>
  <c r="F48"/>
  <c r="E58"/>
  <c r="G58"/>
  <c r="E64"/>
  <c r="G64"/>
  <c r="D72"/>
  <c r="F72"/>
  <c r="F76"/>
  <c r="E86"/>
  <c r="G86"/>
  <c r="E353"/>
  <c r="G353"/>
  <c r="E92"/>
  <c r="G92"/>
  <c r="D100"/>
  <c r="F100"/>
  <c r="F104"/>
  <c r="E129"/>
  <c r="G133"/>
  <c r="D148"/>
  <c r="F148"/>
  <c r="E178"/>
  <c r="D282"/>
  <c r="F282"/>
  <c r="D289"/>
  <c r="F161"/>
  <c r="G178"/>
  <c r="F289"/>
  <c r="D187"/>
  <c r="F187"/>
  <c r="F302"/>
  <c r="E28"/>
  <c r="G28"/>
  <c r="E100"/>
  <c r="F19"/>
  <c r="D200"/>
  <c r="F200"/>
  <c r="E317"/>
  <c r="G317"/>
  <c r="F329"/>
  <c r="E338"/>
  <c r="G338"/>
  <c r="E344"/>
  <c r="G344"/>
  <c r="F357"/>
  <c r="E366"/>
  <c r="G366"/>
  <c r="E242" a="1"/>
  <c r="E242" s="1"/>
  <c r="G242" a="1"/>
  <c r="G242" s="1"/>
  <c r="E298" a="1"/>
  <c r="E298" s="1"/>
  <c r="G298" a="1"/>
  <c r="G298" s="1"/>
  <c r="D325"/>
  <c r="F325"/>
  <c r="D242" a="1"/>
  <c r="D242" s="1"/>
  <c r="F242" a="1"/>
  <c r="F242" s="1"/>
  <c r="D298" a="1"/>
  <c r="D298" s="1"/>
  <c r="F298" a="1"/>
  <c r="F298" s="1"/>
  <c r="E325"/>
  <c r="G325"/>
  <c r="E157"/>
  <c r="G157"/>
  <c r="E214" a="1"/>
  <c r="E214" s="1"/>
  <c r="G100"/>
  <c r="D157"/>
  <c r="F157"/>
  <c r="D214" a="1"/>
  <c r="D214" s="1"/>
  <c r="F214" a="1"/>
  <c r="F214" s="1"/>
  <c r="G48"/>
  <c r="D58"/>
  <c r="F58"/>
  <c r="F64"/>
  <c r="E72"/>
  <c r="G72"/>
  <c r="G76"/>
  <c r="D86"/>
  <c r="F86"/>
  <c r="D92"/>
  <c r="F92"/>
  <c r="G104"/>
  <c r="D129"/>
  <c r="F129"/>
  <c r="F133"/>
  <c r="E148"/>
  <c r="G148"/>
  <c r="G161"/>
  <c r="D178"/>
  <c r="F178"/>
  <c r="E187"/>
  <c r="G187"/>
  <c r="F191"/>
  <c r="E200"/>
  <c r="G200"/>
  <c r="G218"/>
  <c r="D233"/>
  <c r="F233"/>
  <c r="F246"/>
  <c r="E254"/>
  <c r="G254"/>
  <c r="E269"/>
  <c r="G269"/>
  <c r="G273"/>
  <c r="G15" a="1"/>
  <c r="G15" s="1"/>
  <c r="G35"/>
  <c r="G191"/>
  <c r="D427" l="1"/>
  <c r="C34" i="32" s="1"/>
  <c r="E427" i="29"/>
  <c r="D34" i="32" s="1"/>
  <c r="D584" i="29"/>
  <c r="D585" s="1" a="1"/>
  <c r="D585" s="1"/>
  <c r="D586" s="1" a="1"/>
  <c r="D586" s="1"/>
  <c r="F584"/>
  <c r="F585" s="1" a="1"/>
  <c r="F585" s="1"/>
  <c r="F586" s="1" a="1"/>
  <c r="F586" s="1"/>
  <c r="G574" a="1"/>
  <c r="G574" s="1"/>
  <c r="G575" s="1" a="1"/>
  <c r="G575" s="1"/>
  <c r="G576" s="1" a="1"/>
  <c r="D589" a="1"/>
  <c r="D589" s="1"/>
  <c r="D590" s="1" a="1"/>
  <c r="D590" s="1"/>
  <c r="D591" s="1" a="1"/>
  <c r="D591" s="1"/>
  <c r="G589" a="1"/>
  <c r="G589" s="1"/>
  <c r="G590" s="1" a="1"/>
  <c r="G590" s="1"/>
  <c r="G591" s="1" a="1"/>
  <c r="G591" s="1"/>
  <c r="D574" a="1"/>
  <c r="D574" s="1"/>
  <c r="D575" s="1" a="1"/>
  <c r="F589" a="1"/>
  <c r="F589" s="1"/>
  <c r="F590" s="1" a="1"/>
  <c r="F590" s="1"/>
  <c r="F591" s="1" a="1"/>
  <c r="F591" s="1"/>
  <c r="E574" a="1"/>
  <c r="E574" s="1"/>
  <c r="E575" s="1" a="1"/>
  <c r="E589" a="1"/>
  <c r="E589" s="1"/>
  <c r="E590" s="1" a="1"/>
  <c r="E590" s="1"/>
  <c r="E591" s="1" a="1"/>
  <c r="E591" s="1"/>
  <c r="F574" a="1"/>
  <c r="F574" s="1"/>
  <c r="F575" s="1" a="1"/>
  <c r="D579"/>
  <c r="D580" s="1" a="1"/>
  <c r="D580" s="1"/>
  <c r="D581" s="1" a="1"/>
  <c r="D581" s="1"/>
  <c r="G579"/>
  <c r="G580" s="1" a="1"/>
  <c r="G580" s="1"/>
  <c r="G581" s="1" a="1"/>
  <c r="G581" s="1"/>
  <c r="E584"/>
  <c r="E585" s="1" a="1"/>
  <c r="E585" s="1"/>
  <c r="E586" s="1" a="1"/>
  <c r="E586" s="1"/>
  <c r="F579"/>
  <c r="F580" s="1" a="1"/>
  <c r="F580" s="1"/>
  <c r="F581" s="1" a="1"/>
  <c r="F581" s="1"/>
  <c r="E579"/>
  <c r="E580" s="1" a="1"/>
  <c r="E580" s="1"/>
  <c r="E581" s="1" a="1"/>
  <c r="E581" s="1"/>
  <c r="G584"/>
  <c r="G585" s="1" a="1"/>
  <c r="G585" s="1"/>
  <c r="G586" s="1" a="1"/>
  <c r="G586" s="1"/>
  <c r="F318"/>
  <c r="E30" i="32" s="1"/>
  <c r="E290" i="29"/>
  <c r="D22" i="32" s="1"/>
  <c r="E234" i="29"/>
  <c r="D20" i="32" s="1"/>
  <c r="G345" i="29"/>
  <c r="F31" i="32" s="1"/>
  <c r="F65" i="29"/>
  <c r="E7" i="32" s="1"/>
  <c r="D540" i="29"/>
  <c r="C45" i="32" s="1"/>
  <c r="E149" i="29"/>
  <c r="D10" i="32" s="1"/>
  <c r="E93" i="29"/>
  <c r="D8" i="32" s="1"/>
  <c r="G65" i="29"/>
  <c r="F7" i="32" s="1"/>
  <c r="E179" i="29"/>
  <c r="D18" i="32" s="1"/>
  <c r="E121" i="29"/>
  <c r="D9" i="32" s="1"/>
  <c r="D455" i="29"/>
  <c r="C42" i="32" s="1"/>
  <c r="G567" i="29"/>
  <c r="F46" i="32" s="1"/>
  <c r="G455" i="29"/>
  <c r="F42" i="32" s="1"/>
  <c r="D234" i="29"/>
  <c r="C20" i="32" s="1"/>
  <c r="G234" i="29"/>
  <c r="F20" i="32" s="1"/>
  <c r="F234" i="29"/>
  <c r="E20" i="32" s="1"/>
  <c r="E262" i="29"/>
  <c r="D21" i="32" s="1"/>
  <c r="G511" i="29"/>
  <c r="F44" i="32" s="1"/>
  <c r="E511" i="29"/>
  <c r="D44" i="32" s="1"/>
  <c r="F511" i="29"/>
  <c r="E44" i="32" s="1"/>
  <c r="D511" i="29"/>
  <c r="C44" i="32" s="1"/>
  <c r="F36" i="29"/>
  <c r="E6" i="32" s="1"/>
  <c r="D121" i="29"/>
  <c r="C9" i="32" s="1"/>
  <c r="G483" i="29"/>
  <c r="F43" i="32" s="1"/>
  <c r="E455" i="29"/>
  <c r="D42" i="32" s="1"/>
  <c r="G179" i="29"/>
  <c r="F18" i="32" s="1"/>
  <c r="F179" i="29"/>
  <c r="E18" i="32" s="1"/>
  <c r="D179" i="29"/>
  <c r="C18" i="32" s="1"/>
  <c r="F373" i="29"/>
  <c r="E32" i="32" s="1"/>
  <c r="F455" i="29"/>
  <c r="E42" i="32" s="1"/>
  <c r="D207" i="29"/>
  <c r="C19" i="32" s="1"/>
  <c r="D149" i="29"/>
  <c r="C10" i="32" s="1"/>
  <c r="D318" i="29"/>
  <c r="C30" i="32" s="1"/>
  <c r="E318" i="29"/>
  <c r="D30" i="32" s="1"/>
  <c r="G373" i="29"/>
  <c r="F32" i="32" s="1"/>
  <c r="E36" i="29"/>
  <c r="F402"/>
  <c r="E33" i="32" s="1"/>
  <c r="D373" i="29"/>
  <c r="C32" i="32" s="1"/>
  <c r="E567" i="29"/>
  <c r="D46" i="32" s="1"/>
  <c r="G427" i="29"/>
  <c r="F34" i="32" s="1"/>
  <c r="D402" i="29"/>
  <c r="C33" i="32" s="1"/>
  <c r="F121" i="29"/>
  <c r="G121"/>
  <c r="F9" i="32" s="1"/>
  <c r="E483" i="29"/>
  <c r="D43" i="32" s="1"/>
  <c r="D36" i="29"/>
  <c r="D483"/>
  <c r="C43" i="32" s="1"/>
  <c r="E207" i="29"/>
  <c r="D19" i="32" s="1"/>
  <c r="F207" i="29"/>
  <c r="E19" i="32" s="1"/>
  <c r="G207" i="29"/>
  <c r="F19" i="32" s="1"/>
  <c r="F540" i="29"/>
  <c r="E45" i="32" s="1"/>
  <c r="E9"/>
  <c r="F290" i="29"/>
  <c r="E22" i="32" s="1"/>
  <c r="F567" i="29"/>
  <c r="E46" i="32" s="1"/>
  <c r="E540" i="29"/>
  <c r="D45" i="32" s="1"/>
  <c r="F483" i="29"/>
  <c r="E43" i="32" s="1"/>
  <c r="F427" i="29"/>
  <c r="E34" i="32" s="1"/>
  <c r="E402" i="29"/>
  <c r="D33" i="32" s="1"/>
  <c r="D567" i="29"/>
  <c r="C46" i="32" s="1"/>
  <c r="G540" i="29"/>
  <c r="F45" i="32" s="1"/>
  <c r="G402" i="29"/>
  <c r="F33" i="32" s="1"/>
  <c r="G36" i="29"/>
  <c r="D262"/>
  <c r="C21" i="32" s="1"/>
  <c r="G262" i="29"/>
  <c r="F21" i="32" s="1"/>
  <c r="D93" i="29"/>
  <c r="C8" i="32" s="1"/>
  <c r="E373" i="29"/>
  <c r="D32" i="32" s="1"/>
  <c r="E65" i="29"/>
  <c r="D7" i="32" s="1"/>
  <c r="G318" i="29"/>
  <c r="D290"/>
  <c r="C22" i="32" s="1"/>
  <c r="F93" i="29"/>
  <c r="E8" i="32" s="1"/>
  <c r="D65" i="29"/>
  <c r="C7" i="32" s="1"/>
  <c r="G149" i="29"/>
  <c r="F10" i="32" s="1"/>
  <c r="E345" i="29"/>
  <c r="D31" i="32" s="1"/>
  <c r="F345" i="29"/>
  <c r="D345"/>
  <c r="C31" i="32" s="1"/>
  <c r="F262" i="29"/>
  <c r="E21" i="32" s="1"/>
  <c r="G290" i="29"/>
  <c r="F22" i="32" s="1"/>
  <c r="F149" i="29"/>
  <c r="E10" i="32" s="1"/>
  <c r="G93" i="29"/>
  <c r="F8" i="32" s="1"/>
  <c r="F428" i="29" l="1"/>
  <c r="E31" i="32"/>
  <c r="G428" i="29"/>
  <c r="F30" i="32"/>
  <c r="D6"/>
  <c r="E150" i="29"/>
  <c r="D594"/>
  <c r="D575"/>
  <c r="D576" s="1" a="1"/>
  <c r="E594"/>
  <c r="E575"/>
  <c r="E576" s="1" a="1"/>
  <c r="G595"/>
  <c r="G576"/>
  <c r="F6" i="32"/>
  <c r="G150" i="29"/>
  <c r="C6" i="32"/>
  <c r="D150" i="29"/>
  <c r="F150"/>
  <c r="F594"/>
  <c r="F575"/>
  <c r="F576" s="1" a="1"/>
  <c r="G594"/>
  <c r="D568"/>
  <c r="G568"/>
  <c r="F568"/>
  <c r="E568"/>
  <c r="E291"/>
  <c r="E428"/>
  <c r="D428"/>
  <c r="F291"/>
  <c r="G291"/>
  <c r="D291"/>
  <c r="C24" i="32"/>
  <c r="E569" i="29" l="1"/>
  <c r="F569"/>
  <c r="G569"/>
  <c r="E595"/>
  <c r="E576"/>
  <c r="D595"/>
  <c r="D576"/>
  <c r="F595"/>
  <c r="F576"/>
  <c r="G596"/>
  <c r="D569"/>
  <c r="F596" l="1"/>
  <c r="D596"/>
  <c r="E596"/>
  <c r="D23" i="32" l="1"/>
  <c r="C47"/>
  <c r="D11" l="1"/>
  <c r="D35"/>
  <c r="F11"/>
  <c r="E23"/>
  <c r="F23" l="1"/>
  <c r="F35"/>
  <c r="C23"/>
  <c r="C35"/>
  <c r="E35"/>
  <c r="E11"/>
  <c r="E24"/>
  <c r="E25" s="1"/>
  <c r="D47"/>
  <c r="F24" l="1"/>
  <c r="F25" s="1"/>
  <c r="D24"/>
  <c r="D25" s="1"/>
  <c r="C25" l="1"/>
  <c r="C29" s="1"/>
  <c r="E29" l="1"/>
  <c r="D29"/>
  <c r="F36" l="1"/>
  <c r="F37" l="1"/>
  <c r="E36"/>
  <c r="E37" s="1"/>
  <c r="D36"/>
  <c r="D37" s="1"/>
  <c r="C36" l="1"/>
  <c r="C37" s="1"/>
  <c r="C41" s="1"/>
  <c r="E41" l="1"/>
  <c r="D41"/>
  <c r="F47" l="1"/>
  <c r="E47" l="1"/>
  <c r="C48"/>
  <c r="C49" l="1"/>
  <c r="C53" s="1"/>
  <c r="E48" l="1"/>
  <c r="E49" l="1"/>
  <c r="E53" s="1"/>
  <c r="D48"/>
  <c r="F48"/>
  <c r="D49" l="1"/>
  <c r="D53" s="1"/>
  <c r="F49"/>
  <c r="F12" l="1"/>
  <c r="F13" s="1"/>
  <c r="C12"/>
  <c r="E12" l="1"/>
  <c r="E54" s="1"/>
  <c r="F54"/>
  <c r="F55" s="1"/>
  <c r="C13"/>
  <c r="C17" s="1"/>
  <c r="C54"/>
  <c r="D12"/>
  <c r="E13" l="1"/>
  <c r="E17" s="1"/>
  <c r="D54"/>
  <c r="D13"/>
  <c r="D17" s="1"/>
  <c r="C55"/>
  <c r="C59"/>
  <c r="E55"/>
  <c r="E59"/>
  <c r="D55" l="1"/>
  <c r="D59"/>
</calcChain>
</file>

<file path=xl/sharedStrings.xml><?xml version="1.0" encoding="utf-8"?>
<sst xmlns="http://schemas.openxmlformats.org/spreadsheetml/2006/main" count="635" uniqueCount="245">
  <si>
    <t>Наименование</t>
  </si>
  <si>
    <t>Выход,</t>
  </si>
  <si>
    <t>г</t>
  </si>
  <si>
    <t>Итого:</t>
  </si>
  <si>
    <t>Обед</t>
  </si>
  <si>
    <t>Суп из овощей</t>
  </si>
  <si>
    <t>Итого за день</t>
  </si>
  <si>
    <t>Рис отварной</t>
  </si>
  <si>
    <t>ккал</t>
  </si>
  <si>
    <t>Энергетическая ценность</t>
  </si>
  <si>
    <t>Пюре картофельное</t>
  </si>
  <si>
    <t>Углеводы</t>
  </si>
  <si>
    <t>Белки</t>
  </si>
  <si>
    <t>Жиры</t>
  </si>
  <si>
    <t>Чай с сахаром</t>
  </si>
  <si>
    <t>Полдник</t>
  </si>
  <si>
    <t>Винегрет овощной</t>
  </si>
  <si>
    <t>День 1(понедельник)</t>
  </si>
  <si>
    <t>День 2(вторник)</t>
  </si>
  <si>
    <t>День 3 (среда)</t>
  </si>
  <si>
    <t>День 4 (четверг)</t>
  </si>
  <si>
    <t>День 5 (пятница)</t>
  </si>
  <si>
    <t>Капуста тушеная</t>
  </si>
  <si>
    <t>1 неделя</t>
  </si>
  <si>
    <t>двух разовое питание</t>
  </si>
  <si>
    <t>2 неделя</t>
  </si>
  <si>
    <t>3 неделя</t>
  </si>
  <si>
    <t>4 неделя</t>
  </si>
  <si>
    <t>ЗА 4 НЕДЕЛИ СРЕДНЕЕ</t>
  </si>
  <si>
    <t>Среднее завтрак</t>
  </si>
  <si>
    <t>Среднее 2х разовое</t>
  </si>
  <si>
    <t>Среднее 3х разовое</t>
  </si>
  <si>
    <t>недели</t>
  </si>
  <si>
    <t>дни</t>
  </si>
  <si>
    <t>белки</t>
  </si>
  <si>
    <t>жиры</t>
  </si>
  <si>
    <t>углеводы</t>
  </si>
  <si>
    <t>1 нед</t>
  </si>
  <si>
    <t>итого</t>
  </si>
  <si>
    <t>средняя</t>
  </si>
  <si>
    <t>соотношение (по белку)</t>
  </si>
  <si>
    <t>2 нед</t>
  </si>
  <si>
    <t>3 нед</t>
  </si>
  <si>
    <t>4 нед</t>
  </si>
  <si>
    <t>средняя по меню</t>
  </si>
  <si>
    <t>Каша гречневая рассыпчатая</t>
  </si>
  <si>
    <t>Изделия макаронные отварные</t>
  </si>
  <si>
    <t>Кофейный напиток из цикория с молоком</t>
  </si>
  <si>
    <t>Сухарики из хлеба пшеничного</t>
  </si>
  <si>
    <t>Компот из плодов сухих (курага)</t>
  </si>
  <si>
    <t>Салат из помидоров и огурцов свежих с растительным маслом</t>
  </si>
  <si>
    <t>Рагу из овощей</t>
  </si>
  <si>
    <t>Молоко сгущенное с сахаром 8,5% жирности</t>
  </si>
  <si>
    <t>Хлеб зерновой пшеничный</t>
  </si>
  <si>
    <t>Мармелад</t>
  </si>
  <si>
    <t>Хлеб ржано-пшеничный</t>
  </si>
  <si>
    <t>Хлеб из муки пшеничной первого сорта</t>
  </si>
  <si>
    <t>Масло коровье сладкосливочное несоленое в порционной упаковке</t>
  </si>
  <si>
    <t>Кисель из ягод свежезамороженных (клюква)</t>
  </si>
  <si>
    <t xml:space="preserve">Сыр полутвердый для детского (дошкольного и школьного) питания с жирностью до 45% в порционной нарезке </t>
  </si>
  <si>
    <t>Салат из капусты краснокочанной с маслом растительным</t>
  </si>
  <si>
    <t>Омлет натуральный, запеченный</t>
  </si>
  <si>
    <t>Омлет с сыром запеченный</t>
  </si>
  <si>
    <t>Компот из плодов сухих  (смесь косточковых плодов)</t>
  </si>
  <si>
    <t>Завтрак 2</t>
  </si>
  <si>
    <t>Завтрак 1</t>
  </si>
  <si>
    <t>Итого за 5 дней</t>
  </si>
  <si>
    <t>Итого за 20 дней</t>
  </si>
  <si>
    <t>Норматив 100</t>
  </si>
  <si>
    <t>3-7 лет</t>
  </si>
  <si>
    <t>Печенье</t>
  </si>
  <si>
    <t>Вода питьевая детская</t>
  </si>
  <si>
    <t>Суп картофельный на мясном бульоне</t>
  </si>
  <si>
    <t>Омлет с горошком зеленым запеченный</t>
  </si>
  <si>
    <t>Лимон к чаю</t>
  </si>
  <si>
    <t>Щи из шпината со сметаной на бульоне из птицы</t>
  </si>
  <si>
    <t>Суфле из отварной птицы (цыплята)</t>
  </si>
  <si>
    <t>Отвар шиповника</t>
  </si>
  <si>
    <t>Картофель отварной, запеченный со сливочным маслом</t>
  </si>
  <si>
    <t>Кефир</t>
  </si>
  <si>
    <t>Суп молочный с изделиями макаронными</t>
  </si>
  <si>
    <t>Рассольник домашний на мясном бульоне</t>
  </si>
  <si>
    <t>Мясо отварное</t>
  </si>
  <si>
    <t>Печень по-строгановски</t>
  </si>
  <si>
    <t>Капуста цветная отварная, запеченная в соусе сухарном</t>
  </si>
  <si>
    <t>Рис отварной с овощами</t>
  </si>
  <si>
    <t>Запеканка из творога с изюмом</t>
  </si>
  <si>
    <t xml:space="preserve">Суп из овощей на курином бульоне </t>
  </si>
  <si>
    <t>Птица отварная (цыплята)</t>
  </si>
  <si>
    <t>Компот из плодов свежих  (апельсин)</t>
  </si>
  <si>
    <t>Оладьи с яблоками</t>
  </si>
  <si>
    <t>День 6 (понедельник)</t>
  </si>
  <si>
    <t>Рис, припущенный с кукурузой</t>
  </si>
  <si>
    <t>День 7 (вторник)</t>
  </si>
  <si>
    <t>Суфле творожное запеченное</t>
  </si>
  <si>
    <t>Соус молочный (сладкий)</t>
  </si>
  <si>
    <t>Кофейный напиток злаковый, на молоке</t>
  </si>
  <si>
    <t>Соус томатный собственного производства</t>
  </si>
  <si>
    <t>Компот из плодов сухих (изюм)</t>
  </si>
  <si>
    <t>Каша вязкая на молоке (пшено)</t>
  </si>
  <si>
    <t>Рыба, запеченная с картофелем, по-русски</t>
  </si>
  <si>
    <t>Каша боярская (из пшена с изюмом)</t>
  </si>
  <si>
    <t>Рагу из птицы (цыплята)</t>
  </si>
  <si>
    <t>Картофель отварной, запеченный с растительным маслом</t>
  </si>
  <si>
    <t>Изделие деликатесное из мяса (ветчина) для школьного питания порция</t>
  </si>
  <si>
    <t>Суп крестьянский с крупой (крупа перловая) на мясном бульоне</t>
  </si>
  <si>
    <t>Суфле из отварного мяса (говядина)</t>
  </si>
  <si>
    <t>Какао с молоком</t>
  </si>
  <si>
    <t>Булочка с изюмом собственного производства</t>
  </si>
  <si>
    <t xml:space="preserve">Суп картофельный с бобовыми (фасоль) </t>
  </si>
  <si>
    <t>Компот из плодов свежих (лимон)</t>
  </si>
  <si>
    <t>Лепешка с сыром собственного производства</t>
  </si>
  <si>
    <t xml:space="preserve">Салат из свеклы и горошка зеленого консервированного с маслом растительным </t>
  </si>
  <si>
    <t>Суп с изделиями макаронными (фигурными) группы А на бульоне из птицы</t>
  </si>
  <si>
    <t>Пудинг из творога запеченный</t>
  </si>
  <si>
    <t>Чай с молоком с сахаром</t>
  </si>
  <si>
    <t>Лепешки картофельные</t>
  </si>
  <si>
    <t>Огурцы свежие</t>
  </si>
  <si>
    <t>Жаркое по-домашнему (говядина)</t>
  </si>
  <si>
    <t>Фрикадельки мясные паровые собственного производства</t>
  </si>
  <si>
    <t xml:space="preserve">Запеканка из творога </t>
  </si>
  <si>
    <t>Биточки рубленые из птицы паровые (цыплята) собственного производства</t>
  </si>
  <si>
    <t>Пудинг манный</t>
  </si>
  <si>
    <t>Щи из капусты свежей на бульоне мясном с мелкошинкованными овощами</t>
  </si>
  <si>
    <t>Запеканка картофельная с мясом отварным</t>
  </si>
  <si>
    <t>Салат зеленый с огурцами и помидорами с растительным маслом</t>
  </si>
  <si>
    <t>Ватрушка с творогом собственного производства</t>
  </si>
  <si>
    <t>Каша жидкая на молоке (из пшена и риса) "Дружба"</t>
  </si>
  <si>
    <t>Яйцо куриное диетическое, сваренное вкрутую</t>
  </si>
  <si>
    <t>Каша жидкая на молоке (из хлопьев овсяных)</t>
  </si>
  <si>
    <t>День 8 (среда)</t>
  </si>
  <si>
    <t>День 9 (четверг)</t>
  </si>
  <si>
    <t>День 10 (пятница)</t>
  </si>
  <si>
    <t>День 11 (понедельник)</t>
  </si>
  <si>
    <t>День 12 (вторник)</t>
  </si>
  <si>
    <t>День 13 (среда)</t>
  </si>
  <si>
    <t>День 14 (четверг)</t>
  </si>
  <si>
    <t>День 15 (пятница)</t>
  </si>
  <si>
    <t>День 16 (Понедельник)</t>
  </si>
  <si>
    <t>День 17 (Вторник)</t>
  </si>
  <si>
    <t>День 18 (Среда)</t>
  </si>
  <si>
    <t>День 19 (Четверг)</t>
  </si>
  <si>
    <t>День 20 (Пятница)</t>
  </si>
  <si>
    <t>Биойогурт  фруктовый питьевой</t>
  </si>
  <si>
    <t>Зефир</t>
  </si>
  <si>
    <t>Соус сметанный</t>
  </si>
  <si>
    <t>Суп с клецками на бульоне из птицы</t>
  </si>
  <si>
    <t>Вафли</t>
  </si>
  <si>
    <t>Рыба (филе) запеченная</t>
  </si>
  <si>
    <t>Салат из свеклы с огурцами консервированными с растительным маслом</t>
  </si>
  <si>
    <t>Салат из капусты белокочанной со сладким перцем с маслом растительным</t>
  </si>
  <si>
    <t>Салат из помидоров с растительным маслом</t>
  </si>
  <si>
    <t>Салат витаминный с маслом растительным</t>
  </si>
  <si>
    <t>Рассольник ленинградский на мясном бульоне</t>
  </si>
  <si>
    <t>Салат из помидоров с репчатым луком с растительным маслом</t>
  </si>
  <si>
    <t>Салат из моркови с растительным маслом</t>
  </si>
  <si>
    <t>Пастила</t>
  </si>
  <si>
    <t>норматив 90</t>
  </si>
  <si>
    <t>норматив 95</t>
  </si>
  <si>
    <t xml:space="preserve">Энергетическая ценность завтрак </t>
  </si>
  <si>
    <t>3-х разовое питание</t>
  </si>
  <si>
    <t>Суп крестьянский с крупой (пшено)</t>
  </si>
  <si>
    <t>Каша жидкая молочная (из пшена и риса) "Дружба"</t>
  </si>
  <si>
    <t xml:space="preserve">Котлеты рубленые из птицы (цыплята) собственного производства, запеченные с соусом молочным </t>
  </si>
  <si>
    <t>Борщ с мелкошинкованными овощами на мясном бульоне</t>
  </si>
  <si>
    <t>Азу из мяса отварного (35/35)</t>
  </si>
  <si>
    <t>Плоды и ягоды свежие (см. приложение №1)</t>
  </si>
  <si>
    <t xml:space="preserve">Плоды и ягоды свежие </t>
  </si>
  <si>
    <t xml:space="preserve">Гуляш из отварного мяса </t>
  </si>
  <si>
    <t xml:space="preserve">Компот из плодов сухих  </t>
  </si>
  <si>
    <t xml:space="preserve">Печенье </t>
  </si>
  <si>
    <t xml:space="preserve">Плоды и ягоды свежие  </t>
  </si>
  <si>
    <t>Салат из помидоров свежих с перцем сладким с раст. Маслом</t>
  </si>
  <si>
    <t>Сырники из творога запеченые</t>
  </si>
  <si>
    <t>Соус ягодный</t>
  </si>
  <si>
    <t xml:space="preserve">Сыр полутвердый  </t>
  </si>
  <si>
    <t xml:space="preserve">Компот из плодов быстрозамороженных </t>
  </si>
  <si>
    <t xml:space="preserve">Кисель из ягод свежезамороженных </t>
  </si>
  <si>
    <t>Пряники</t>
  </si>
  <si>
    <t>Чай с сахаром и лимоном</t>
  </si>
  <si>
    <t>Котлета или биточки рыбные</t>
  </si>
  <si>
    <t>Компот из плодов свежих (яблоки/апельсины)</t>
  </si>
  <si>
    <t xml:space="preserve">Тефтели мясные с соусом собственного производства </t>
  </si>
  <si>
    <t xml:space="preserve">Компот из плодов сухих </t>
  </si>
  <si>
    <t>Чай  с сахаром</t>
  </si>
  <si>
    <t>Салат из свежих огурцов с раст. маслом</t>
  </si>
  <si>
    <t>Джем(варенье) фруктовый</t>
  </si>
  <si>
    <t>Каша  на молоке (гречневая)</t>
  </si>
  <si>
    <t>Суп-пюре из гороха на мясном бульоне</t>
  </si>
  <si>
    <t>Мясо вареное порционное</t>
  </si>
  <si>
    <t xml:space="preserve">Кнели рыбные отварные  </t>
  </si>
  <si>
    <t xml:space="preserve">Сыр полутвердый   </t>
  </si>
  <si>
    <t>Борщ  на мясном бульоне</t>
  </si>
  <si>
    <t>Йогурт питьевой</t>
  </si>
  <si>
    <t>Каша  на молоке (манная)</t>
  </si>
  <si>
    <t xml:space="preserve">Масло коровье сладкосливочное  </t>
  </si>
  <si>
    <t xml:space="preserve">Котлеты мясные рубленые, запеченные с соусом молочным </t>
  </si>
  <si>
    <t xml:space="preserve">Компот из плодов быстрозамороженных   </t>
  </si>
  <si>
    <t>Аладьи из печени</t>
  </si>
  <si>
    <t>Изделие деликатесное из мяса (ветчина) для детского  питания порция</t>
  </si>
  <si>
    <t>Капуста с морковью тушеная</t>
  </si>
  <si>
    <t>Чай   с сахаром</t>
  </si>
  <si>
    <t>Каша  на молоке (рисовая)</t>
  </si>
  <si>
    <t>Салат из свежих овощей и яблок с раст. маслом</t>
  </si>
  <si>
    <t>Щи из капусты свежей с   овощами</t>
  </si>
  <si>
    <t>Пастила (зефир)</t>
  </si>
  <si>
    <t>Салат из зеленого горошка</t>
  </si>
  <si>
    <t xml:space="preserve">Изделие деликатесное из мяса (ветчина) для детского питания </t>
  </si>
  <si>
    <t>Компот из плодов свежих (апельсин/яблоко)</t>
  </si>
  <si>
    <t xml:space="preserve">Молоко сгущенное с сахаром  </t>
  </si>
  <si>
    <t>Чай с   сахаром</t>
  </si>
  <si>
    <t xml:space="preserve">Масло коровье сладкосливочное несоленое  </t>
  </si>
  <si>
    <t xml:space="preserve">Бефстроганов из мяса отварного в сметанно-молочном соусе  </t>
  </si>
  <si>
    <t>Салат из св. огурцов и красного перца с подсолнечным маслом</t>
  </si>
  <si>
    <t>Зразы морковные с черносливом запеченые</t>
  </si>
  <si>
    <t>Йогурт фруктовый питьевой</t>
  </si>
  <si>
    <t xml:space="preserve">Масло коровье сладкосливочное   </t>
  </si>
  <si>
    <t>Хлеб   пшеничный</t>
  </si>
  <si>
    <t>Салат из моркови со сладким перцем   с растительным маслом</t>
  </si>
  <si>
    <t xml:space="preserve">Компот из плодов сухих   </t>
  </si>
  <si>
    <t>Свекла тушеная с морковью и луком</t>
  </si>
  <si>
    <t>Джем (варенье)</t>
  </si>
  <si>
    <t xml:space="preserve">Масло коровье сладкосливочное </t>
  </si>
  <si>
    <t xml:space="preserve">Салат из свежих огурцов и помидоров  </t>
  </si>
  <si>
    <t>Хлеб ржаной</t>
  </si>
  <si>
    <t>Салат айсберг с огурцами и помидорами</t>
  </si>
  <si>
    <t xml:space="preserve">Филе птицы (цыплят), тушенное в соусе томатном </t>
  </si>
  <si>
    <t>Компот из плодов свежих (груши/лимон)</t>
  </si>
  <si>
    <t>Суп гороховый на мясном бульоне</t>
  </si>
  <si>
    <t>Чай с лимоном с сахаром</t>
  </si>
  <si>
    <t>Каша на молоке (манная)</t>
  </si>
  <si>
    <t xml:space="preserve">Хлеб из муки пшеничной первого сорта </t>
  </si>
  <si>
    <t>Салат из моркови сизюмом   с растительным маслом</t>
  </si>
  <si>
    <t>МЕНЮ для детей дошкольного возраста</t>
  </si>
  <si>
    <t>Наименования пищевых продуктов приведены в соответствии с утвержденной Главным государственным санитарным врачом по городу Москве                                                                                                                                                                                                                                                                           номенклатурой пищевых продуктов, используемых в питании детей и подростков в образовательных учреждениях</t>
  </si>
  <si>
    <t>Капуста цветная отварная и запеченая в соусе сухарном</t>
  </si>
  <si>
    <t>Каша вязкая  (рисовая с черносливом)</t>
  </si>
  <si>
    <t>Вермишель отварная с томатным соусом (собственного приготовления)</t>
  </si>
  <si>
    <t>Пирожок с яблоком</t>
  </si>
  <si>
    <t>Шницель рыбный</t>
  </si>
  <si>
    <t>Ватрушка с джемом</t>
  </si>
  <si>
    <t xml:space="preserve">Масло коровье сладкосливочное несоленое </t>
  </si>
  <si>
    <t>Голубцы ленивые</t>
  </si>
  <si>
    <t>Компот из плодов свежих (груша)</t>
  </si>
  <si>
    <r>
      <t xml:space="preserve">                                                                                     АНО ДО  </t>
    </r>
    <r>
      <rPr>
        <b/>
        <sz val="36"/>
        <color rgb="FFC00000"/>
        <rFont val="Times New Roman"/>
        <family val="1"/>
        <charset val="204"/>
      </rPr>
      <t xml:space="preserve">"В гостях у сказки"     </t>
    </r>
    <r>
      <rPr>
        <b/>
        <sz val="26"/>
        <color rgb="FFC00000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МЕНЮ для детей дошкольного возраста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</si>
</sst>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>
  <numFmts count="1">
    <numFmt numFmtId="164" formatCode="0.0"/>
  </numFmts>
  <fonts count="35">
    <font>
      <sz val="10"/>
      <name val="Arial Cyr"/>
      <charset val="204"/>
    </font>
    <font>
      <sz val="8"/>
      <name val="Arial Cyr"/>
      <charset val="204"/>
    </font>
    <font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Times New Roman"/>
      <family val="1"/>
      <charset val="204"/>
    </font>
    <font>
      <sz val="12"/>
      <name val="Arial Cyr"/>
      <charset val="204"/>
    </font>
    <font>
      <b/>
      <sz val="11"/>
      <color indexed="8"/>
      <name val="Calibri"/>
      <family val="2"/>
      <charset val="204"/>
    </font>
    <font>
      <sz val="16"/>
      <name val="Arial Cyr"/>
      <charset val="204"/>
    </font>
    <font>
      <b/>
      <sz val="10"/>
      <name val="Arial Cyr"/>
      <charset val="204"/>
    </font>
    <font>
      <sz val="14"/>
      <color theme="1"/>
      <name val="Arial Cyr"/>
      <charset val="204"/>
    </font>
    <font>
      <sz val="14"/>
      <color rgb="FFFF0000"/>
      <name val="Arial Cyr"/>
      <charset val="204"/>
    </font>
    <font>
      <b/>
      <sz val="18"/>
      <name val="Times New Roman"/>
      <family val="1"/>
      <charset val="204"/>
    </font>
    <font>
      <b/>
      <sz val="11"/>
      <color rgb="FFFF0000"/>
      <name val="Calibri"/>
      <family val="2"/>
      <charset val="204"/>
    </font>
    <font>
      <b/>
      <sz val="10"/>
      <color rgb="FFFF0000"/>
      <name val="Arial Cyr"/>
      <charset val="204"/>
    </font>
    <font>
      <sz val="10"/>
      <color rgb="FFFF0000"/>
      <name val="Arial Cyr"/>
      <charset val="204"/>
    </font>
    <font>
      <b/>
      <i/>
      <sz val="16"/>
      <name val="Times New Roman"/>
      <family val="1"/>
      <charset val="204"/>
    </font>
    <font>
      <sz val="18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 Cyr"/>
      <charset val="204"/>
    </font>
    <font>
      <b/>
      <sz val="26"/>
      <name val="Times New Roman"/>
      <family val="1"/>
      <charset val="204"/>
    </font>
    <font>
      <sz val="26"/>
      <name val="Arial Cyr"/>
      <charset val="204"/>
    </font>
    <font>
      <sz val="18"/>
      <name val="Calibri"/>
      <family val="2"/>
      <charset val="204"/>
      <scheme val="minor"/>
    </font>
    <font>
      <b/>
      <sz val="24"/>
      <name val="Times New Roman"/>
      <family val="1"/>
      <charset val="204"/>
    </font>
    <font>
      <sz val="24"/>
      <name val="Arial Cyr"/>
      <charset val="204"/>
    </font>
    <font>
      <b/>
      <sz val="26"/>
      <color rgb="FFC00000"/>
      <name val="Times New Roman"/>
      <family val="1"/>
      <charset val="204"/>
    </font>
    <font>
      <sz val="26"/>
      <color rgb="FFC00000"/>
      <name val="Arial Cyr"/>
      <charset val="204"/>
    </font>
    <font>
      <sz val="10"/>
      <color rgb="FFC00000"/>
      <name val="Arial Cyr"/>
      <charset val="204"/>
    </font>
    <font>
      <sz val="24"/>
      <name val="Times New Roman"/>
      <family val="1"/>
      <charset val="204"/>
    </font>
    <font>
      <i/>
      <sz val="24"/>
      <name val="Times New Roman"/>
      <family val="1"/>
      <charset val="204"/>
    </font>
    <font>
      <b/>
      <i/>
      <sz val="26"/>
      <color rgb="FFC00000"/>
      <name val="Times New Roman"/>
      <family val="1"/>
      <charset val="204"/>
    </font>
    <font>
      <i/>
      <sz val="26"/>
      <color rgb="FFC00000"/>
      <name val="Times New Roman"/>
      <family val="1"/>
      <charset val="204"/>
    </font>
    <font>
      <b/>
      <sz val="24"/>
      <color theme="8" tint="-0.249977111117893"/>
      <name val="Times New Roman"/>
      <family val="1"/>
      <charset val="204"/>
    </font>
    <font>
      <sz val="24"/>
      <color theme="8" tint="-0.249977111117893"/>
      <name val="Times New Roman"/>
      <family val="1"/>
      <charset val="204"/>
    </font>
    <font>
      <b/>
      <sz val="36"/>
      <color rgb="FFC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0" fillId="0" borderId="0" xfId="0" applyFill="1"/>
    <xf numFmtId="2" fontId="0" fillId="0" borderId="0" xfId="0" applyNumberFormat="1"/>
    <xf numFmtId="0" fontId="0" fillId="3" borderId="1" xfId="0" applyFill="1" applyBorder="1"/>
    <xf numFmtId="2" fontId="0" fillId="3" borderId="1" xfId="0" applyNumberFormat="1" applyFont="1" applyFill="1" applyBorder="1"/>
    <xf numFmtId="164" fontId="0" fillId="3" borderId="1" xfId="0" applyNumberFormat="1" applyFont="1" applyFill="1" applyBorder="1"/>
    <xf numFmtId="0" fontId="7" fillId="0" borderId="0" xfId="0" applyFont="1" applyFill="1"/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2" fontId="6" fillId="4" borderId="1" xfId="0" applyNumberFormat="1" applyFont="1" applyFill="1" applyBorder="1"/>
    <xf numFmtId="164" fontId="6" fillId="4" borderId="1" xfId="0" applyNumberFormat="1" applyFont="1" applyFill="1" applyBorder="1"/>
    <xf numFmtId="2" fontId="0" fillId="4" borderId="1" xfId="0" applyNumberFormat="1" applyFont="1" applyFill="1" applyBorder="1"/>
    <xf numFmtId="2" fontId="2" fillId="4" borderId="0" xfId="0" applyNumberFormat="1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1" fontId="2" fillId="4" borderId="0" xfId="0" applyNumberFormat="1" applyFont="1" applyFill="1" applyAlignment="1">
      <alignment horizontal="center"/>
    </xf>
    <xf numFmtId="0" fontId="2" fillId="4" borderId="0" xfId="0" applyFont="1" applyFill="1" applyAlignment="1">
      <alignment horizontal="left" vertical="center" wrapText="1"/>
    </xf>
    <xf numFmtId="0" fontId="0" fillId="4" borderId="0" xfId="0" applyFill="1"/>
    <xf numFmtId="2" fontId="2" fillId="4" borderId="0" xfId="0" applyNumberFormat="1" applyFont="1" applyFill="1" applyAlignment="1">
      <alignment horizontal="center" vertical="center"/>
    </xf>
    <xf numFmtId="2" fontId="2" fillId="4" borderId="8" xfId="0" applyNumberFormat="1" applyFont="1" applyFill="1" applyBorder="1" applyAlignment="1">
      <alignment horizontal="center" vertical="center"/>
    </xf>
    <xf numFmtId="0" fontId="6" fillId="4" borderId="0" xfId="0" applyFont="1" applyFill="1"/>
    <xf numFmtId="2" fontId="0" fillId="4" borderId="0" xfId="0" applyNumberFormat="1" applyFill="1"/>
    <xf numFmtId="164" fontId="0" fillId="4" borderId="0" xfId="0" applyNumberFormat="1" applyFill="1"/>
    <xf numFmtId="0" fontId="6" fillId="4" borderId="1" xfId="0" applyFont="1" applyFill="1" applyBorder="1" applyAlignment="1">
      <alignment horizontal="center"/>
    </xf>
    <xf numFmtId="2" fontId="6" fillId="4" borderId="1" xfId="0" applyNumberFormat="1" applyFont="1" applyFill="1" applyBorder="1" applyAlignment="1">
      <alignment horizontal="center"/>
    </xf>
    <xf numFmtId="164" fontId="6" fillId="4" borderId="1" xfId="0" applyNumberFormat="1" applyFont="1" applyFill="1" applyBorder="1" applyAlignment="1">
      <alignment horizontal="center"/>
    </xf>
    <xf numFmtId="0" fontId="0" fillId="4" borderId="1" xfId="0" applyFill="1" applyBorder="1"/>
    <xf numFmtId="2" fontId="0" fillId="4" borderId="1" xfId="0" applyNumberFormat="1" applyFill="1" applyBorder="1"/>
    <xf numFmtId="164" fontId="0" fillId="4" borderId="1" xfId="0" applyNumberFormat="1" applyFont="1" applyFill="1" applyBorder="1"/>
    <xf numFmtId="0" fontId="10" fillId="4" borderId="0" xfId="0" applyFont="1" applyFill="1" applyAlignment="1">
      <alignment horizontal="center"/>
    </xf>
    <xf numFmtId="0" fontId="0" fillId="0" borderId="0" xfId="0" applyFill="1" applyAlignment="1">
      <alignment vertical="top"/>
    </xf>
    <xf numFmtId="0" fontId="4" fillId="4" borderId="0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center" wrapText="1"/>
    </xf>
    <xf numFmtId="164" fontId="8" fillId="4" borderId="1" xfId="0" applyNumberFormat="1" applyFont="1" applyFill="1" applyBorder="1"/>
    <xf numFmtId="0" fontId="10" fillId="2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10" fillId="4" borderId="0" xfId="0" applyFont="1" applyFill="1" applyAlignment="1">
      <alignment horizontal="center" vertical="center"/>
    </xf>
    <xf numFmtId="164" fontId="12" fillId="4" borderId="1" xfId="0" applyNumberFormat="1" applyFont="1" applyFill="1" applyBorder="1"/>
    <xf numFmtId="164" fontId="13" fillId="4" borderId="1" xfId="0" applyNumberFormat="1" applyFont="1" applyFill="1" applyBorder="1"/>
    <xf numFmtId="164" fontId="14" fillId="4" borderId="1" xfId="0" applyNumberFormat="1" applyFont="1" applyFill="1" applyBorder="1"/>
    <xf numFmtId="0" fontId="15" fillId="4" borderId="0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left" vertical="center" wrapText="1"/>
    </xf>
    <xf numFmtId="1" fontId="15" fillId="4" borderId="0" xfId="0" applyNumberFormat="1" applyFont="1" applyFill="1" applyBorder="1" applyAlignment="1">
      <alignment horizontal="center" vertical="center"/>
    </xf>
    <xf numFmtId="2" fontId="15" fillId="4" borderId="0" xfId="0" applyNumberFormat="1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2" fontId="16" fillId="4" borderId="0" xfId="0" applyNumberFormat="1" applyFont="1" applyFill="1" applyBorder="1" applyAlignment="1">
      <alignment horizontal="center" vertical="center"/>
    </xf>
    <xf numFmtId="2" fontId="18" fillId="4" borderId="10" xfId="0" applyNumberFormat="1" applyFont="1" applyFill="1" applyBorder="1" applyAlignment="1">
      <alignment horizontal="center" vertical="center" wrapText="1"/>
    </xf>
    <xf numFmtId="2" fontId="18" fillId="4" borderId="15" xfId="0" applyNumberFormat="1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left" vertical="center" wrapText="1"/>
    </xf>
    <xf numFmtId="1" fontId="16" fillId="4" borderId="0" xfId="0" applyNumberFormat="1" applyFont="1" applyFill="1" applyAlignment="1">
      <alignment horizontal="center"/>
    </xf>
    <xf numFmtId="2" fontId="16" fillId="4" borderId="0" xfId="0" applyNumberFormat="1" applyFont="1" applyFill="1" applyAlignment="1">
      <alignment horizontal="center" vertical="center"/>
    </xf>
    <xf numFmtId="0" fontId="16" fillId="4" borderId="0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2" fontId="22" fillId="4" borderId="0" xfId="0" applyNumberFormat="1" applyFont="1" applyFill="1" applyBorder="1" applyAlignment="1">
      <alignment horizontal="center" vertical="center"/>
    </xf>
    <xf numFmtId="2" fontId="22" fillId="4" borderId="0" xfId="0" applyNumberFormat="1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23" fillId="4" borderId="1" xfId="0" applyFont="1" applyFill="1" applyBorder="1" applyAlignment="1">
      <alignment horizontal="left" vertical="center" wrapText="1"/>
    </xf>
    <xf numFmtId="0" fontId="25" fillId="4" borderId="0" xfId="0" applyFont="1" applyFill="1" applyBorder="1" applyAlignment="1">
      <alignment horizontal="left" vertical="center" wrapText="1"/>
    </xf>
    <xf numFmtId="1" fontId="17" fillId="4" borderId="10" xfId="0" applyNumberFormat="1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left" vertical="center" wrapText="1"/>
    </xf>
    <xf numFmtId="1" fontId="28" fillId="4" borderId="1" xfId="0" applyNumberFormat="1" applyFont="1" applyFill="1" applyBorder="1" applyAlignment="1">
      <alignment horizontal="center" vertical="center" wrapText="1"/>
    </xf>
    <xf numFmtId="2" fontId="28" fillId="4" borderId="1" xfId="0" applyNumberFormat="1" applyFont="1" applyFill="1" applyBorder="1" applyAlignment="1">
      <alignment horizontal="center" vertical="center"/>
    </xf>
    <xf numFmtId="0" fontId="28" fillId="4" borderId="1" xfId="0" applyFont="1" applyFill="1" applyBorder="1"/>
    <xf numFmtId="2" fontId="28" fillId="4" borderId="1" xfId="0" applyNumberFormat="1" applyFont="1" applyFill="1" applyBorder="1" applyAlignment="1">
      <alignment horizontal="center" vertical="center" wrapText="1"/>
    </xf>
    <xf numFmtId="1" fontId="23" fillId="4" borderId="1" xfId="0" applyNumberFormat="1" applyFont="1" applyFill="1" applyBorder="1" applyAlignment="1">
      <alignment horizontal="center" vertical="center" wrapText="1"/>
    </xf>
    <xf numFmtId="2" fontId="23" fillId="4" borderId="1" xfId="0" applyNumberFormat="1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 wrapText="1"/>
    </xf>
    <xf numFmtId="2" fontId="28" fillId="4" borderId="18" xfId="0" applyNumberFormat="1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left" vertical="center"/>
    </xf>
    <xf numFmtId="1" fontId="28" fillId="0" borderId="1" xfId="0" applyNumberFormat="1" applyFont="1" applyFill="1" applyBorder="1" applyAlignment="1">
      <alignment horizontal="center" vertical="center" wrapText="1"/>
    </xf>
    <xf numFmtId="2" fontId="28" fillId="5" borderId="1" xfId="0" applyNumberFormat="1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justify" vertical="center"/>
    </xf>
    <xf numFmtId="2" fontId="23" fillId="4" borderId="1" xfId="0" applyNumberFormat="1" applyFont="1" applyFill="1" applyBorder="1" applyAlignment="1">
      <alignment horizontal="center" vertical="center"/>
    </xf>
    <xf numFmtId="0" fontId="28" fillId="4" borderId="18" xfId="0" applyFont="1" applyFill="1" applyBorder="1" applyAlignment="1">
      <alignment wrapText="1"/>
    </xf>
    <xf numFmtId="1" fontId="28" fillId="4" borderId="18" xfId="0" applyNumberFormat="1" applyFont="1" applyFill="1" applyBorder="1" applyAlignment="1">
      <alignment horizontal="center" vertical="center" wrapText="1"/>
    </xf>
    <xf numFmtId="2" fontId="28" fillId="4" borderId="18" xfId="0" applyNumberFormat="1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wrapText="1"/>
    </xf>
    <xf numFmtId="0" fontId="28" fillId="4" borderId="0" xfId="0" applyFont="1" applyFill="1" applyAlignment="1">
      <alignment horizontal="justify" vertical="center"/>
    </xf>
    <xf numFmtId="0" fontId="28" fillId="4" borderId="16" xfId="0" applyFont="1" applyFill="1" applyBorder="1" applyAlignment="1">
      <alignment horizontal="center" vertical="center"/>
    </xf>
    <xf numFmtId="1" fontId="28" fillId="4" borderId="1" xfId="0" applyNumberFormat="1" applyFont="1" applyFill="1" applyBorder="1" applyAlignment="1">
      <alignment horizontal="center" vertical="center"/>
    </xf>
    <xf numFmtId="0" fontId="28" fillId="4" borderId="17" xfId="0" applyFont="1" applyFill="1" applyBorder="1" applyAlignment="1">
      <alignment horizontal="left" vertical="center" wrapText="1"/>
    </xf>
    <xf numFmtId="0" fontId="28" fillId="4" borderId="18" xfId="0" applyFont="1" applyFill="1" applyBorder="1" applyAlignment="1">
      <alignment horizontal="center" vertical="center"/>
    </xf>
    <xf numFmtId="0" fontId="28" fillId="4" borderId="28" xfId="0" applyFont="1" applyFill="1" applyBorder="1" applyAlignment="1">
      <alignment horizontal="left" vertical="center" wrapText="1"/>
    </xf>
    <xf numFmtId="0" fontId="28" fillId="4" borderId="0" xfId="0" applyFont="1" applyFill="1"/>
    <xf numFmtId="0" fontId="28" fillId="4" borderId="1" xfId="0" applyFont="1" applyFill="1" applyBorder="1" applyAlignment="1">
      <alignment horizontal="justify" vertical="center" wrapText="1"/>
    </xf>
    <xf numFmtId="0" fontId="28" fillId="4" borderId="0" xfId="0" applyFont="1" applyFill="1" applyAlignment="1">
      <alignment wrapText="1"/>
    </xf>
    <xf numFmtId="1" fontId="28" fillId="4" borderId="1" xfId="0" applyNumberFormat="1" applyFont="1" applyFill="1" applyBorder="1" applyAlignment="1">
      <alignment horizontal="left" vertical="center" wrapText="1"/>
    </xf>
    <xf numFmtId="2" fontId="28" fillId="4" borderId="2" xfId="0" applyNumberFormat="1" applyFont="1" applyFill="1" applyBorder="1" applyAlignment="1">
      <alignment horizontal="center" vertical="center"/>
    </xf>
    <xf numFmtId="0" fontId="28" fillId="4" borderId="19" xfId="0" applyFont="1" applyFill="1" applyBorder="1" applyAlignment="1">
      <alignment horizontal="center" vertical="center"/>
    </xf>
    <xf numFmtId="0" fontId="28" fillId="4" borderId="25" xfId="0" applyFont="1" applyFill="1" applyBorder="1" applyAlignment="1">
      <alignment horizontal="center" vertical="center"/>
    </xf>
    <xf numFmtId="0" fontId="28" fillId="4" borderId="5" xfId="0" applyFont="1" applyFill="1" applyBorder="1" applyAlignment="1">
      <alignment horizontal="center" vertical="center"/>
    </xf>
    <xf numFmtId="0" fontId="23" fillId="4" borderId="10" xfId="0" applyFont="1" applyFill="1" applyBorder="1" applyAlignment="1">
      <alignment horizontal="left" vertical="center" wrapText="1"/>
    </xf>
    <xf numFmtId="1" fontId="28" fillId="4" borderId="10" xfId="0" applyNumberFormat="1" applyFont="1" applyFill="1" applyBorder="1" applyAlignment="1">
      <alignment horizontal="center" vertical="center" wrapText="1"/>
    </xf>
    <xf numFmtId="2" fontId="23" fillId="4" borderId="15" xfId="0" applyNumberFormat="1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/>
    </xf>
    <xf numFmtId="0" fontId="29" fillId="4" borderId="1" xfId="0" applyFont="1" applyFill="1" applyBorder="1" applyAlignment="1">
      <alignment horizontal="center" vertical="center"/>
    </xf>
    <xf numFmtId="0" fontId="28" fillId="4" borderId="0" xfId="0" applyFont="1" applyFill="1" applyBorder="1" applyAlignment="1">
      <alignment horizontal="left" vertical="top" wrapText="1"/>
    </xf>
    <xf numFmtId="0" fontId="28" fillId="4" borderId="0" xfId="0" applyFont="1" applyFill="1" applyAlignment="1">
      <alignment horizontal="left" vertical="center" wrapText="1"/>
    </xf>
    <xf numFmtId="1" fontId="28" fillId="4" borderId="0" xfId="0" applyNumberFormat="1" applyFont="1" applyFill="1" applyAlignment="1">
      <alignment horizontal="center"/>
    </xf>
    <xf numFmtId="2" fontId="28" fillId="4" borderId="0" xfId="0" applyNumberFormat="1" applyFont="1" applyFill="1" applyAlignment="1">
      <alignment horizontal="center" vertical="center"/>
    </xf>
    <xf numFmtId="2" fontId="28" fillId="4" borderId="0" xfId="0" applyNumberFormat="1" applyFont="1" applyFill="1" applyBorder="1" applyAlignment="1">
      <alignment horizontal="center" vertical="center"/>
    </xf>
    <xf numFmtId="0" fontId="30" fillId="4" borderId="1" xfId="0" applyFont="1" applyFill="1" applyBorder="1" applyAlignment="1">
      <alignment horizontal="left" vertical="center" wrapText="1"/>
    </xf>
    <xf numFmtId="1" fontId="31" fillId="4" borderId="1" xfId="0" applyNumberFormat="1" applyFont="1" applyFill="1" applyBorder="1" applyAlignment="1">
      <alignment horizontal="center"/>
    </xf>
    <xf numFmtId="2" fontId="30" fillId="4" borderId="1" xfId="0" applyNumberFormat="1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left" vertical="center" wrapText="1"/>
    </xf>
    <xf numFmtId="1" fontId="33" fillId="4" borderId="1" xfId="0" applyNumberFormat="1" applyFont="1" applyFill="1" applyBorder="1" applyAlignment="1">
      <alignment horizontal="center"/>
    </xf>
    <xf numFmtId="2" fontId="32" fillId="4" borderId="1" xfId="0" applyNumberFormat="1" applyFont="1" applyFill="1" applyBorder="1" applyAlignment="1">
      <alignment horizontal="center" vertical="center"/>
    </xf>
    <xf numFmtId="1" fontId="32" fillId="4" borderId="1" xfId="0" applyNumberFormat="1" applyFont="1" applyFill="1" applyBorder="1" applyAlignment="1">
      <alignment horizontal="center" vertical="center" wrapText="1"/>
    </xf>
    <xf numFmtId="0" fontId="28" fillId="4" borderId="0" xfId="0" applyFont="1" applyFill="1" applyBorder="1" applyAlignment="1">
      <alignment horizontal="center" vertical="center"/>
    </xf>
    <xf numFmtId="0" fontId="23" fillId="4" borderId="16" xfId="0" applyFont="1" applyFill="1" applyBorder="1" applyAlignment="1">
      <alignment horizontal="center" vertical="center" wrapText="1"/>
    </xf>
    <xf numFmtId="0" fontId="23" fillId="4" borderId="22" xfId="0" applyFont="1" applyFill="1" applyBorder="1" applyAlignment="1">
      <alignment horizontal="center" vertical="center" wrapText="1"/>
    </xf>
    <xf numFmtId="0" fontId="25" fillId="4" borderId="29" xfId="0" applyFont="1" applyFill="1" applyBorder="1" applyAlignment="1">
      <alignment horizontal="center" vertical="center" wrapText="1"/>
    </xf>
    <xf numFmtId="0" fontId="25" fillId="4" borderId="25" xfId="0" applyFont="1" applyFill="1" applyBorder="1" applyAlignment="1">
      <alignment horizontal="center" vertical="center" wrapText="1"/>
    </xf>
    <xf numFmtId="0" fontId="23" fillId="4" borderId="27" xfId="0" applyFont="1" applyFill="1" applyBorder="1" applyAlignment="1">
      <alignment horizontal="center" vertical="center" wrapText="1"/>
    </xf>
    <xf numFmtId="0" fontId="23" fillId="4" borderId="28" xfId="0" applyFont="1" applyFill="1" applyBorder="1" applyAlignment="1">
      <alignment horizontal="center" vertical="center" wrapText="1"/>
    </xf>
    <xf numFmtId="0" fontId="23" fillId="4" borderId="26" xfId="0" applyFont="1" applyFill="1" applyBorder="1" applyAlignment="1">
      <alignment horizontal="center" vertical="center" wrapText="1"/>
    </xf>
    <xf numFmtId="0" fontId="25" fillId="4" borderId="16" xfId="0" applyFont="1" applyFill="1" applyBorder="1" applyAlignment="1">
      <alignment horizontal="center" vertical="center" wrapText="1"/>
    </xf>
    <xf numFmtId="0" fontId="25" fillId="4" borderId="22" xfId="0" applyFont="1" applyFill="1" applyBorder="1" applyAlignment="1">
      <alignment horizontal="center" vertical="center" wrapText="1"/>
    </xf>
    <xf numFmtId="0" fontId="23" fillId="4" borderId="27" xfId="0" applyFont="1" applyFill="1" applyBorder="1" applyAlignment="1">
      <alignment vertical="center" wrapText="1"/>
    </xf>
    <xf numFmtId="0" fontId="24" fillId="4" borderId="28" xfId="0" applyFont="1" applyFill="1" applyBorder="1" applyAlignment="1">
      <alignment vertical="center"/>
    </xf>
    <xf numFmtId="0" fontId="18" fillId="4" borderId="12" xfId="0" applyFont="1" applyFill="1" applyBorder="1" applyAlignment="1">
      <alignment horizontal="center" vertical="center"/>
    </xf>
    <xf numFmtId="0" fontId="18" fillId="4" borderId="13" xfId="0" applyFont="1" applyFill="1" applyBorder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23" fillId="4" borderId="30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/>
    </xf>
    <xf numFmtId="0" fontId="23" fillId="4" borderId="16" xfId="0" applyFont="1" applyFill="1" applyBorder="1" applyAlignment="1">
      <alignment vertical="center" wrapText="1"/>
    </xf>
    <xf numFmtId="0" fontId="24" fillId="0" borderId="22" xfId="0" applyFont="1" applyBorder="1" applyAlignment="1"/>
    <xf numFmtId="0" fontId="23" fillId="4" borderId="22" xfId="0" applyFont="1" applyFill="1" applyBorder="1" applyAlignment="1">
      <alignment vertical="center" wrapText="1"/>
    </xf>
    <xf numFmtId="0" fontId="24" fillId="4" borderId="22" xfId="0" applyFont="1" applyFill="1" applyBorder="1" applyAlignment="1">
      <alignment vertical="center"/>
    </xf>
    <xf numFmtId="0" fontId="25" fillId="4" borderId="16" xfId="0" applyFont="1" applyFill="1" applyBorder="1" applyAlignment="1">
      <alignment horizontal="center" wrapText="1"/>
    </xf>
    <xf numFmtId="0" fontId="25" fillId="4" borderId="22" xfId="0" applyFont="1" applyFill="1" applyBorder="1" applyAlignment="1">
      <alignment horizontal="center" wrapText="1"/>
    </xf>
    <xf numFmtId="0" fontId="26" fillId="4" borderId="11" xfId="0" applyFont="1" applyFill="1" applyBorder="1" applyAlignment="1">
      <alignment horizontal="center"/>
    </xf>
    <xf numFmtId="0" fontId="20" fillId="4" borderId="16" xfId="0" applyFont="1" applyFill="1" applyBorder="1" applyAlignment="1">
      <alignment vertical="center" wrapText="1"/>
    </xf>
    <xf numFmtId="0" fontId="20" fillId="4" borderId="22" xfId="0" applyFont="1" applyFill="1" applyBorder="1" applyAlignment="1">
      <alignment vertical="center" wrapText="1"/>
    </xf>
    <xf numFmtId="0" fontId="21" fillId="4" borderId="11" xfId="0" applyFont="1" applyFill="1" applyBorder="1" applyAlignment="1">
      <alignment vertical="center"/>
    </xf>
    <xf numFmtId="0" fontId="21" fillId="4" borderId="22" xfId="0" applyFont="1" applyFill="1" applyBorder="1" applyAlignment="1">
      <alignment vertical="center"/>
    </xf>
    <xf numFmtId="0" fontId="25" fillId="4" borderId="20" xfId="0" applyFont="1" applyFill="1" applyBorder="1" applyAlignment="1">
      <alignment horizontal="center" vertical="center" wrapText="1"/>
    </xf>
    <xf numFmtId="0" fontId="26" fillId="0" borderId="21" xfId="0" applyFont="1" applyBorder="1" applyAlignment="1">
      <alignment horizontal="center"/>
    </xf>
    <xf numFmtId="0" fontId="25" fillId="4" borderId="26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left" vertical="center" wrapText="1"/>
    </xf>
    <xf numFmtId="0" fontId="20" fillId="4" borderId="22" xfId="0" applyFont="1" applyFill="1" applyBorder="1" applyAlignment="1">
      <alignment horizontal="left" vertical="center" wrapText="1"/>
    </xf>
    <xf numFmtId="0" fontId="20" fillId="4" borderId="11" xfId="0" applyFont="1" applyFill="1" applyBorder="1" applyAlignment="1">
      <alignment horizontal="left" vertical="center" wrapText="1"/>
    </xf>
    <xf numFmtId="0" fontId="23" fillId="4" borderId="16" xfId="0" applyFont="1" applyFill="1" applyBorder="1" applyAlignment="1">
      <alignment horizontal="left" vertical="center" wrapText="1"/>
    </xf>
    <xf numFmtId="0" fontId="23" fillId="4" borderId="22" xfId="0" applyFont="1" applyFill="1" applyBorder="1" applyAlignment="1">
      <alignment horizontal="left" vertical="center" wrapText="1"/>
    </xf>
    <xf numFmtId="0" fontId="25" fillId="4" borderId="0" xfId="0" applyFont="1" applyFill="1" applyBorder="1" applyAlignment="1">
      <alignment horizontal="left" vertical="center" wrapText="1"/>
    </xf>
    <xf numFmtId="0" fontId="27" fillId="0" borderId="0" xfId="0" applyFont="1" applyAlignment="1">
      <alignment horizontal="left"/>
    </xf>
    <xf numFmtId="0" fontId="18" fillId="4" borderId="0" xfId="0" applyFont="1" applyFill="1" applyBorder="1" applyAlignment="1">
      <alignment horizontal="left" vertical="center" wrapText="1"/>
    </xf>
    <xf numFmtId="1" fontId="17" fillId="4" borderId="3" xfId="0" applyNumberFormat="1" applyFont="1" applyFill="1" applyBorder="1" applyAlignment="1">
      <alignment horizontal="center" vertical="center" wrapText="1"/>
    </xf>
    <xf numFmtId="1" fontId="17" fillId="4" borderId="1" xfId="0" applyNumberFormat="1" applyFont="1" applyFill="1" applyBorder="1" applyAlignment="1">
      <alignment horizontal="center" vertical="center" wrapText="1"/>
    </xf>
    <xf numFmtId="2" fontId="17" fillId="4" borderId="3" xfId="0" applyNumberFormat="1" applyFont="1" applyFill="1" applyBorder="1" applyAlignment="1">
      <alignment horizontal="center" vertical="center" wrapText="1"/>
    </xf>
    <xf numFmtId="2" fontId="17" fillId="4" borderId="1" xfId="0" applyNumberFormat="1" applyFont="1" applyFill="1" applyBorder="1" applyAlignment="1">
      <alignment horizontal="center" vertical="center" wrapText="1"/>
    </xf>
    <xf numFmtId="2" fontId="17" fillId="4" borderId="4" xfId="0" applyNumberFormat="1" applyFont="1" applyFill="1" applyBorder="1" applyAlignment="1">
      <alignment horizontal="center" vertical="center" wrapText="1"/>
    </xf>
    <xf numFmtId="2" fontId="17" fillId="4" borderId="2" xfId="0" applyNumberFormat="1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 wrapText="1"/>
    </xf>
    <xf numFmtId="0" fontId="17" fillId="4" borderId="6" xfId="0" applyFont="1" applyFill="1" applyBorder="1" applyAlignment="1">
      <alignment horizontal="center" vertical="center" wrapText="1"/>
    </xf>
    <xf numFmtId="0" fontId="25" fillId="4" borderId="23" xfId="0" applyFont="1" applyFill="1" applyBorder="1" applyAlignment="1">
      <alignment horizontal="center" vertical="center" wrapText="1"/>
    </xf>
    <xf numFmtId="0" fontId="25" fillId="4" borderId="24" xfId="0" applyFont="1" applyFill="1" applyBorder="1" applyAlignment="1">
      <alignment horizontal="center" vertical="center" wrapText="1"/>
    </xf>
    <xf numFmtId="0" fontId="0" fillId="3" borderId="16" xfId="0" applyFill="1" applyBorder="1" applyAlignment="1">
      <alignment horizontal="left"/>
    </xf>
    <xf numFmtId="0" fontId="0" fillId="3" borderId="11" xfId="0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9"/>
  </sheetPr>
  <dimension ref="A1:H738"/>
  <sheetViews>
    <sheetView tabSelected="1" view="pageBreakPreview" zoomScale="55" zoomScaleNormal="60" zoomScaleSheetLayoutView="55" workbookViewId="0">
      <pane xSplit="2" ySplit="10" topLeftCell="C486" activePane="bottomRight" state="frozen"/>
      <selection pane="topRight" activeCell="C1" sqref="C1"/>
      <selection pane="bottomLeft" activeCell="A10" sqref="A10"/>
      <selection pane="bottomRight" activeCell="E3" sqref="E3"/>
    </sheetView>
  </sheetViews>
  <sheetFormatPr defaultRowHeight="18.75"/>
  <cols>
    <col min="1" max="1" width="8.28515625" style="25" customWidth="1"/>
    <col min="2" max="2" width="92.5703125" style="27" customWidth="1"/>
    <col min="3" max="3" width="37.140625" style="26" customWidth="1"/>
    <col min="4" max="5" width="31.140625" style="29" customWidth="1"/>
    <col min="6" max="6" width="26.5703125" style="29" customWidth="1"/>
    <col min="7" max="7" width="26.5703125" style="30" customWidth="1"/>
    <col min="8" max="16384" width="9.140625" style="1"/>
  </cols>
  <sheetData>
    <row r="1" spans="1:7" s="8" customFormat="1" ht="48.75" customHeight="1">
      <c r="A1" s="53"/>
      <c r="B1" s="161" t="s">
        <v>244</v>
      </c>
      <c r="C1" s="162"/>
      <c r="D1" s="162"/>
      <c r="E1" s="162"/>
      <c r="F1" s="162"/>
      <c r="G1" s="162"/>
    </row>
    <row r="2" spans="1:7" s="9" customFormat="1" ht="55.5" customHeight="1">
      <c r="A2" s="53"/>
      <c r="B2" s="163" t="s">
        <v>234</v>
      </c>
      <c r="C2" s="163"/>
      <c r="D2" s="163"/>
      <c r="E2" s="163"/>
      <c r="F2" s="163"/>
      <c r="G2" s="163"/>
    </row>
    <row r="3" spans="1:7" s="9" customFormat="1" ht="72" customHeight="1">
      <c r="A3" s="53"/>
      <c r="B3" s="73" t="s">
        <v>233</v>
      </c>
      <c r="C3" s="65"/>
      <c r="D3" s="65"/>
      <c r="F3" s="65"/>
      <c r="G3" s="65"/>
    </row>
    <row r="4" spans="1:7" s="8" customFormat="1" ht="21" thickBot="1">
      <c r="A4" s="53"/>
      <c r="B4" s="54"/>
      <c r="C4" s="55"/>
      <c r="D4" s="56"/>
      <c r="E4" s="56"/>
      <c r="F4" s="56"/>
      <c r="G4" s="56"/>
    </row>
    <row r="5" spans="1:7" s="8" customFormat="1" ht="33" customHeight="1">
      <c r="A5" s="137"/>
      <c r="B5" s="170" t="s">
        <v>0</v>
      </c>
      <c r="C5" s="164" t="s">
        <v>1</v>
      </c>
      <c r="D5" s="166" t="s">
        <v>12</v>
      </c>
      <c r="E5" s="166" t="s">
        <v>13</v>
      </c>
      <c r="F5" s="166" t="s">
        <v>11</v>
      </c>
      <c r="G5" s="168" t="s">
        <v>9</v>
      </c>
    </row>
    <row r="6" spans="1:7" s="8" customFormat="1" ht="22.5" customHeight="1">
      <c r="A6" s="138"/>
      <c r="B6" s="171"/>
      <c r="C6" s="165"/>
      <c r="D6" s="167"/>
      <c r="E6" s="167"/>
      <c r="F6" s="167"/>
      <c r="G6" s="169"/>
    </row>
    <row r="7" spans="1:7" s="8" customFormat="1" ht="39" customHeight="1">
      <c r="A7" s="138"/>
      <c r="B7" s="171"/>
      <c r="C7" s="165"/>
      <c r="D7" s="167"/>
      <c r="E7" s="167"/>
      <c r="F7" s="167"/>
      <c r="G7" s="169"/>
    </row>
    <row r="8" spans="1:7" s="8" customFormat="1" ht="39.75" customHeight="1" thickBot="1">
      <c r="A8" s="139"/>
      <c r="B8" s="172"/>
      <c r="C8" s="74" t="s">
        <v>2</v>
      </c>
      <c r="D8" s="59" t="s">
        <v>2</v>
      </c>
      <c r="E8" s="59" t="s">
        <v>2</v>
      </c>
      <c r="F8" s="59" t="s">
        <v>2</v>
      </c>
      <c r="G8" s="60" t="s">
        <v>8</v>
      </c>
    </row>
    <row r="9" spans="1:7" s="7" customFormat="1" ht="47.25" customHeight="1">
      <c r="A9" s="153" t="s">
        <v>17</v>
      </c>
      <c r="B9" s="154"/>
      <c r="C9" s="154"/>
      <c r="D9" s="154"/>
      <c r="E9" s="154"/>
      <c r="F9" s="154"/>
      <c r="G9" s="154"/>
    </row>
    <row r="10" spans="1:7" s="7" customFormat="1" ht="45" customHeight="1">
      <c r="A10" s="140" t="s">
        <v>65</v>
      </c>
      <c r="B10" s="141"/>
      <c r="C10" s="141"/>
      <c r="D10" s="141"/>
      <c r="E10" s="141"/>
      <c r="F10" s="141"/>
      <c r="G10" s="141"/>
    </row>
    <row r="11" spans="1:7" s="45" customFormat="1" ht="62.25" customHeight="1">
      <c r="A11" s="82">
        <v>1</v>
      </c>
      <c r="B11" s="88" t="s">
        <v>127</v>
      </c>
      <c r="C11" s="76">
        <v>200</v>
      </c>
      <c r="D11" s="77">
        <f>3.16*C11/100</f>
        <v>6.32</v>
      </c>
      <c r="E11" s="77">
        <f>5.09*C11/100</f>
        <v>10.18</v>
      </c>
      <c r="F11" s="77">
        <f>13.3*C11/100</f>
        <v>26.6</v>
      </c>
      <c r="G11" s="77">
        <f>112.03*C11/100</f>
        <v>224.06</v>
      </c>
    </row>
    <row r="12" spans="1:7" s="13" customFormat="1" ht="63" customHeight="1">
      <c r="A12" s="82">
        <v>2</v>
      </c>
      <c r="B12" s="75" t="s">
        <v>47</v>
      </c>
      <c r="C12" s="76">
        <v>200</v>
      </c>
      <c r="D12" s="79">
        <f>2.25*C12/100</f>
        <v>4.5</v>
      </c>
      <c r="E12" s="79">
        <f>2.24*C12/100</f>
        <v>4.4800000000000004</v>
      </c>
      <c r="F12" s="79">
        <f>10.25*C12/100</f>
        <v>20.5</v>
      </c>
      <c r="G12" s="79">
        <f>70.23*C12/100</f>
        <v>140.46</v>
      </c>
    </row>
    <row r="13" spans="1:7" s="13" customFormat="1" ht="123" customHeight="1">
      <c r="A13" s="82">
        <v>3</v>
      </c>
      <c r="B13" s="75" t="s">
        <v>59</v>
      </c>
      <c r="C13" s="96">
        <v>10</v>
      </c>
      <c r="D13" s="79">
        <f>26*C13/100</f>
        <v>2.6</v>
      </c>
      <c r="E13" s="79">
        <f>26.1*C13/100</f>
        <v>2.61</v>
      </c>
      <c r="F13" s="79">
        <f>0*C13/100</f>
        <v>0</v>
      </c>
      <c r="G13" s="77">
        <f>344*C13/100</f>
        <v>34.4</v>
      </c>
    </row>
    <row r="14" spans="1:7" s="13" customFormat="1" ht="55.5" customHeight="1">
      <c r="A14" s="82">
        <v>4</v>
      </c>
      <c r="B14" s="75" t="s">
        <v>53</v>
      </c>
      <c r="C14" s="76">
        <v>30</v>
      </c>
      <c r="D14" s="77">
        <f>8.8*C14/100</f>
        <v>2.64</v>
      </c>
      <c r="E14" s="77">
        <f>1.7*C14/100</f>
        <v>0.51</v>
      </c>
      <c r="F14" s="77">
        <f>29.4*C14/100</f>
        <v>8.82</v>
      </c>
      <c r="G14" s="77">
        <f>168*C14/100</f>
        <v>50.4</v>
      </c>
    </row>
    <row r="15" spans="1:7" s="46" customFormat="1" ht="35.25" customHeight="1">
      <c r="A15" s="125"/>
      <c r="B15" s="72" t="s">
        <v>3</v>
      </c>
      <c r="C15" s="80"/>
      <c r="D15" s="81">
        <f t="array" ref="D15">SUM(D11:D14)</f>
        <v>16.059999999999999</v>
      </c>
      <c r="E15" s="81">
        <f t="array" ref="E15">SUM(E11:E14)</f>
        <v>17.78</v>
      </c>
      <c r="F15" s="81">
        <f t="array" ref="F15">SUM(F11:F14)</f>
        <v>55.92</v>
      </c>
      <c r="G15" s="81">
        <f t="array" ref="G15">SUM(G11:G14)</f>
        <v>449.31999999999994</v>
      </c>
    </row>
    <row r="16" spans="1:7" s="7" customFormat="1" ht="58.5" customHeight="1">
      <c r="A16" s="135" t="s">
        <v>64</v>
      </c>
      <c r="B16" s="136"/>
      <c r="C16" s="136"/>
      <c r="D16" s="136"/>
      <c r="E16" s="136"/>
      <c r="F16" s="136"/>
      <c r="G16" s="136"/>
    </row>
    <row r="17" spans="1:7" s="13" customFormat="1" ht="38.25" customHeight="1">
      <c r="A17" s="98">
        <v>1</v>
      </c>
      <c r="B17" s="75" t="s">
        <v>71</v>
      </c>
      <c r="C17" s="83">
        <v>300</v>
      </c>
      <c r="D17" s="84">
        <f>0*C17/100</f>
        <v>0</v>
      </c>
      <c r="E17" s="84">
        <v>0</v>
      </c>
      <c r="F17" s="84">
        <f>0*C17/100</f>
        <v>0</v>
      </c>
      <c r="G17" s="84">
        <f>0*C17/100</f>
        <v>0</v>
      </c>
    </row>
    <row r="18" spans="1:7" s="13" customFormat="1" ht="37.5" customHeight="1">
      <c r="A18" s="98">
        <v>2</v>
      </c>
      <c r="B18" s="75" t="s">
        <v>166</v>
      </c>
      <c r="C18" s="76">
        <v>80</v>
      </c>
      <c r="D18" s="84">
        <f>0.4*C18/100</f>
        <v>0.32</v>
      </c>
      <c r="E18" s="84">
        <f>0.4*C18/100</f>
        <v>0.32</v>
      </c>
      <c r="F18" s="84">
        <f>9.8*C18/100</f>
        <v>7.84</v>
      </c>
      <c r="G18" s="84">
        <f>47*C18/100</f>
        <v>37.6</v>
      </c>
    </row>
    <row r="19" spans="1:7" s="7" customFormat="1" ht="54" customHeight="1">
      <c r="A19" s="82"/>
      <c r="B19" s="72" t="s">
        <v>3</v>
      </c>
      <c r="C19" s="80"/>
      <c r="D19" s="81">
        <f t="shared" ref="D19:G19" si="0">SUM(D17:D18)</f>
        <v>0.32</v>
      </c>
      <c r="E19" s="81">
        <f t="shared" si="0"/>
        <v>0.32</v>
      </c>
      <c r="F19" s="81">
        <f t="shared" si="0"/>
        <v>7.84</v>
      </c>
      <c r="G19" s="81">
        <f t="shared" si="0"/>
        <v>37.6</v>
      </c>
    </row>
    <row r="20" spans="1:7" s="7" customFormat="1" ht="45.75" customHeight="1">
      <c r="A20" s="142" t="s">
        <v>4</v>
      </c>
      <c r="B20" s="143"/>
      <c r="C20" s="143"/>
      <c r="D20" s="143"/>
      <c r="E20" s="143"/>
      <c r="F20" s="143"/>
      <c r="G20" s="143"/>
    </row>
    <row r="21" spans="1:7" s="13" customFormat="1" ht="65.25" customHeight="1">
      <c r="A21" s="82">
        <v>1</v>
      </c>
      <c r="B21" s="75" t="s">
        <v>149</v>
      </c>
      <c r="C21" s="76">
        <v>60</v>
      </c>
      <c r="D21" s="77">
        <f>1.43*C21/100</f>
        <v>0.85799999999999998</v>
      </c>
      <c r="E21" s="77">
        <f>8.09*C21/100</f>
        <v>4.8540000000000001</v>
      </c>
      <c r="F21" s="77">
        <f>6.34*C21/100</f>
        <v>3.8039999999999998</v>
      </c>
      <c r="G21" s="77">
        <f>104.62*C21/100</f>
        <v>62.772000000000006</v>
      </c>
    </row>
    <row r="22" spans="1:7" s="13" customFormat="1" ht="42" customHeight="1">
      <c r="A22" s="82">
        <v>2</v>
      </c>
      <c r="B22" s="88" t="s">
        <v>72</v>
      </c>
      <c r="C22" s="76">
        <v>200</v>
      </c>
      <c r="D22" s="77">
        <f>1.9*C22/100</f>
        <v>3.8</v>
      </c>
      <c r="E22" s="77">
        <f>2.93*C22/100</f>
        <v>5.86</v>
      </c>
      <c r="F22" s="77">
        <f>7.35*C22/100</f>
        <v>14.7</v>
      </c>
      <c r="G22" s="77">
        <f>68.32*C22/100</f>
        <v>136.63999999999999</v>
      </c>
    </row>
    <row r="23" spans="1:7" s="13" customFormat="1" ht="50.25" customHeight="1">
      <c r="A23" s="82">
        <v>3</v>
      </c>
      <c r="B23" s="75" t="s">
        <v>168</v>
      </c>
      <c r="C23" s="76">
        <v>70</v>
      </c>
      <c r="D23" s="77">
        <f>16.39*C23/100</f>
        <v>11.472999999999999</v>
      </c>
      <c r="E23" s="77">
        <f>8.44*C23/100</f>
        <v>5.9079999999999995</v>
      </c>
      <c r="F23" s="77">
        <f>3.51*C23/100</f>
        <v>2.4569999999999999</v>
      </c>
      <c r="G23" s="77">
        <f>158.04*C23/100</f>
        <v>110.62799999999999</v>
      </c>
    </row>
    <row r="24" spans="1:7" s="14" customFormat="1" ht="49.5" customHeight="1">
      <c r="A24" s="82">
        <v>4</v>
      </c>
      <c r="B24" s="75" t="s">
        <v>46</v>
      </c>
      <c r="C24" s="76">
        <v>150</v>
      </c>
      <c r="D24" s="77">
        <f>3.61*C24/100</f>
        <v>5.415</v>
      </c>
      <c r="E24" s="77">
        <f>4.47*C24/100</f>
        <v>6.7050000000000001</v>
      </c>
      <c r="F24" s="77">
        <f>19.28*C24/100</f>
        <v>28.92</v>
      </c>
      <c r="G24" s="77">
        <f>133.46*C24/100</f>
        <v>200.19</v>
      </c>
    </row>
    <row r="25" spans="1:7" s="7" customFormat="1" ht="48" customHeight="1">
      <c r="A25" s="82">
        <v>5</v>
      </c>
      <c r="B25" s="75" t="s">
        <v>169</v>
      </c>
      <c r="C25" s="76">
        <v>200</v>
      </c>
      <c r="D25" s="77">
        <f>0.4*C25/100</f>
        <v>0.8</v>
      </c>
      <c r="E25" s="77">
        <f>0.06*C25/100</f>
        <v>0.12</v>
      </c>
      <c r="F25" s="77">
        <f>13.24*C25/100</f>
        <v>26.48</v>
      </c>
      <c r="G25" s="77">
        <f>46.13*C25/100</f>
        <v>92.26</v>
      </c>
    </row>
    <row r="26" spans="1:7" s="13" customFormat="1" ht="45.75" customHeight="1">
      <c r="A26" s="82">
        <v>6</v>
      </c>
      <c r="B26" s="75" t="s">
        <v>56</v>
      </c>
      <c r="C26" s="76">
        <v>20</v>
      </c>
      <c r="D26" s="77">
        <f>7.76*C26/100</f>
        <v>1.5519999999999998</v>
      </c>
      <c r="E26" s="77">
        <f>2.65*C26/100</f>
        <v>0.53</v>
      </c>
      <c r="F26" s="77">
        <f>53.25*C26/100</f>
        <v>10.65</v>
      </c>
      <c r="G26" s="77">
        <f>273*C26/100</f>
        <v>54.6</v>
      </c>
    </row>
    <row r="27" spans="1:7" s="13" customFormat="1" ht="42" customHeight="1">
      <c r="A27" s="82">
        <v>7</v>
      </c>
      <c r="B27" s="75" t="s">
        <v>55</v>
      </c>
      <c r="C27" s="76">
        <v>20</v>
      </c>
      <c r="D27" s="77">
        <f>5.86*C27/100</f>
        <v>1.1719999999999999</v>
      </c>
      <c r="E27" s="77">
        <f>0.94*C27/100</f>
        <v>0.18799999999999997</v>
      </c>
      <c r="F27" s="77">
        <f>44.4*C27/100</f>
        <v>8.8800000000000008</v>
      </c>
      <c r="G27" s="77">
        <f>189*C27/100</f>
        <v>37.799999999999997</v>
      </c>
    </row>
    <row r="28" spans="1:7" s="7" customFormat="1" ht="49.5" customHeight="1">
      <c r="A28" s="82"/>
      <c r="B28" s="72" t="s">
        <v>3</v>
      </c>
      <c r="C28" s="80"/>
      <c r="D28" s="89">
        <f t="shared" ref="D28:G28" si="1">SUM(D21:D27)</f>
        <v>25.07</v>
      </c>
      <c r="E28" s="89">
        <f t="shared" si="1"/>
        <v>24.164999999999999</v>
      </c>
      <c r="F28" s="89">
        <f t="shared" si="1"/>
        <v>95.891000000000005</v>
      </c>
      <c r="G28" s="89">
        <f t="shared" si="1"/>
        <v>694.89</v>
      </c>
    </row>
    <row r="29" spans="1:7" s="7" customFormat="1" ht="55.5" customHeight="1">
      <c r="A29" s="142" t="s">
        <v>15</v>
      </c>
      <c r="B29" s="144"/>
      <c r="C29" s="144"/>
      <c r="D29" s="144"/>
      <c r="E29" s="144"/>
      <c r="F29" s="144"/>
      <c r="G29" s="145"/>
    </row>
    <row r="30" spans="1:7" s="45" customFormat="1" ht="70.5" customHeight="1">
      <c r="A30" s="82">
        <v>1</v>
      </c>
      <c r="B30" s="88" t="s">
        <v>121</v>
      </c>
      <c r="C30" s="76">
        <v>70</v>
      </c>
      <c r="D30" s="77">
        <f>14.62*C30/100</f>
        <v>10.234</v>
      </c>
      <c r="E30" s="77">
        <f>10.8*C30/100</f>
        <v>7.56</v>
      </c>
      <c r="F30" s="77">
        <f>9.22*C30/100</f>
        <v>6.4540000000000006</v>
      </c>
      <c r="G30" s="77">
        <f>204.26*C30/100</f>
        <v>142.982</v>
      </c>
    </row>
    <row r="31" spans="1:7" s="7" customFormat="1" ht="55.5" customHeight="1">
      <c r="A31" s="82">
        <v>2</v>
      </c>
      <c r="B31" s="75" t="s">
        <v>22</v>
      </c>
      <c r="C31" s="83">
        <v>150</v>
      </c>
      <c r="D31" s="79">
        <f>1.58*C31/100</f>
        <v>2.37</v>
      </c>
      <c r="E31" s="79">
        <f>3.82*C31/100</f>
        <v>5.73</v>
      </c>
      <c r="F31" s="79">
        <f>4.69*C31/100</f>
        <v>7.035000000000001</v>
      </c>
      <c r="G31" s="79">
        <f>72.57*C31/100</f>
        <v>108.85499999999998</v>
      </c>
    </row>
    <row r="32" spans="1:7" s="7" customFormat="1" ht="72" customHeight="1">
      <c r="A32" s="82">
        <v>3</v>
      </c>
      <c r="B32" s="75" t="s">
        <v>58</v>
      </c>
      <c r="C32" s="76">
        <v>200</v>
      </c>
      <c r="D32" s="79">
        <f>0.05*C32/100</f>
        <v>0.1</v>
      </c>
      <c r="E32" s="79">
        <f>0.02*C32/100</f>
        <v>0.04</v>
      </c>
      <c r="F32" s="79">
        <f>8.79*C32/100</f>
        <v>17.579999999999998</v>
      </c>
      <c r="G32" s="79">
        <f>26.86*C32/100</f>
        <v>53.72</v>
      </c>
    </row>
    <row r="33" spans="1:7" ht="40.5" customHeight="1">
      <c r="A33" s="82">
        <v>4</v>
      </c>
      <c r="B33" s="100" t="s">
        <v>170</v>
      </c>
      <c r="C33" s="76">
        <v>25</v>
      </c>
      <c r="D33" s="79">
        <f>6.15*C33/100</f>
        <v>1.5375000000000001</v>
      </c>
      <c r="E33" s="79">
        <f>8.14*C33/100</f>
        <v>2.0350000000000001</v>
      </c>
      <c r="F33" s="79">
        <f>52.89*C33/100</f>
        <v>13.2225</v>
      </c>
      <c r="G33" s="79">
        <f>329.99*C33/100</f>
        <v>82.497500000000002</v>
      </c>
    </row>
    <row r="34" spans="1:7" s="7" customFormat="1" ht="43.5" customHeight="1">
      <c r="A34" s="82">
        <v>5</v>
      </c>
      <c r="B34" s="75" t="s">
        <v>56</v>
      </c>
      <c r="C34" s="76">
        <v>20</v>
      </c>
      <c r="D34" s="77">
        <f>7.76*C34/100</f>
        <v>1.5519999999999998</v>
      </c>
      <c r="E34" s="77">
        <f>2.65*C34/100</f>
        <v>0.53</v>
      </c>
      <c r="F34" s="77">
        <f>53.25*C34/100</f>
        <v>10.65</v>
      </c>
      <c r="G34" s="77">
        <f>273*C34/100</f>
        <v>54.6</v>
      </c>
    </row>
    <row r="35" spans="1:7" s="46" customFormat="1" ht="67.5" customHeight="1">
      <c r="A35" s="95"/>
      <c r="B35" s="72" t="s">
        <v>3</v>
      </c>
      <c r="C35" s="76"/>
      <c r="D35" s="89">
        <f t="shared" ref="D35:G35" si="2">SUM(D30:D34)</f>
        <v>15.793499999999998</v>
      </c>
      <c r="E35" s="89">
        <f t="shared" si="2"/>
        <v>15.894999999999998</v>
      </c>
      <c r="F35" s="89">
        <f t="shared" si="2"/>
        <v>54.941499999999998</v>
      </c>
      <c r="G35" s="89">
        <f t="shared" si="2"/>
        <v>442.65450000000004</v>
      </c>
    </row>
    <row r="36" spans="1:7" s="46" customFormat="1" ht="111" customHeight="1">
      <c r="A36" s="98"/>
      <c r="B36" s="72" t="s">
        <v>6</v>
      </c>
      <c r="C36" s="80"/>
      <c r="D36" s="89">
        <f t="shared" ref="D36:G36" si="3">D15+D19+D28+D35</f>
        <v>57.243499999999997</v>
      </c>
      <c r="E36" s="89">
        <f t="shared" si="3"/>
        <v>58.16</v>
      </c>
      <c r="F36" s="89">
        <f t="shared" si="3"/>
        <v>214.5925</v>
      </c>
      <c r="G36" s="89">
        <f t="shared" si="3"/>
        <v>1624.4645</v>
      </c>
    </row>
    <row r="37" spans="1:7" s="7" customFormat="1" ht="59.25" customHeight="1">
      <c r="A37" s="146" t="s">
        <v>18</v>
      </c>
      <c r="B37" s="147"/>
      <c r="C37" s="147"/>
      <c r="D37" s="147"/>
      <c r="E37" s="147"/>
      <c r="F37" s="147"/>
      <c r="G37" s="148"/>
    </row>
    <row r="38" spans="1:7" s="7" customFormat="1" ht="31.5" customHeight="1">
      <c r="A38" s="149" t="s">
        <v>65</v>
      </c>
      <c r="B38" s="150"/>
      <c r="C38" s="150"/>
      <c r="D38" s="150"/>
      <c r="E38" s="150"/>
      <c r="F38" s="150"/>
      <c r="G38" s="151"/>
    </row>
    <row r="39" spans="1:7" s="7" customFormat="1" ht="60.75" customHeight="1">
      <c r="A39" s="61">
        <v>1</v>
      </c>
      <c r="B39" s="75" t="s">
        <v>73</v>
      </c>
      <c r="C39" s="76">
        <v>80</v>
      </c>
      <c r="D39" s="77">
        <f>7.95*C39/100</f>
        <v>6.36</v>
      </c>
      <c r="E39" s="77">
        <f>12.25*C39/100</f>
        <v>9.8000000000000007</v>
      </c>
      <c r="F39" s="77">
        <f>4.39*C39/100</f>
        <v>3.512</v>
      </c>
      <c r="G39" s="77">
        <f>158.62*C39/100</f>
        <v>126.896</v>
      </c>
    </row>
    <row r="40" spans="1:7" s="7" customFormat="1" ht="50.25" customHeight="1">
      <c r="A40" s="61">
        <v>2</v>
      </c>
      <c r="B40" s="78" t="s">
        <v>14</v>
      </c>
      <c r="C40" s="76">
        <v>200</v>
      </c>
      <c r="D40" s="79">
        <f>0*C40/100</f>
        <v>0</v>
      </c>
      <c r="E40" s="79">
        <f>0*C40/100</f>
        <v>0</v>
      </c>
      <c r="F40" s="79">
        <f>4.99*C40/100</f>
        <v>9.98</v>
      </c>
      <c r="G40" s="79">
        <f>19.95*C40/100</f>
        <v>39.9</v>
      </c>
    </row>
    <row r="41" spans="1:7" s="7" customFormat="1" ht="57.75" customHeight="1">
      <c r="A41" s="61">
        <v>3</v>
      </c>
      <c r="B41" s="78" t="s">
        <v>74</v>
      </c>
      <c r="C41" s="76">
        <v>7</v>
      </c>
      <c r="D41" s="79">
        <f>0.9*C41/100</f>
        <v>6.3E-2</v>
      </c>
      <c r="E41" s="79">
        <f>0.1*C41/100</f>
        <v>7.000000000000001E-3</v>
      </c>
      <c r="F41" s="79">
        <f>3*C41/100</f>
        <v>0.21</v>
      </c>
      <c r="G41" s="79">
        <f>34*C41/100</f>
        <v>2.38</v>
      </c>
    </row>
    <row r="42" spans="1:7" s="7" customFormat="1" ht="69" customHeight="1">
      <c r="A42" s="61">
        <v>4</v>
      </c>
      <c r="B42" s="75" t="s">
        <v>57</v>
      </c>
      <c r="C42" s="76">
        <v>10</v>
      </c>
      <c r="D42" s="79">
        <f>0.5*C42/100</f>
        <v>0.05</v>
      </c>
      <c r="E42" s="79">
        <f>82.5*C42/100</f>
        <v>8.25</v>
      </c>
      <c r="F42" s="79">
        <f>0.8*C42/100</f>
        <v>0.08</v>
      </c>
      <c r="G42" s="79">
        <f>748*C42/100</f>
        <v>74.8</v>
      </c>
    </row>
    <row r="43" spans="1:7" s="7" customFormat="1" ht="76.5" customHeight="1">
      <c r="A43" s="61">
        <v>5</v>
      </c>
      <c r="B43" s="75" t="s">
        <v>56</v>
      </c>
      <c r="C43" s="76">
        <v>20</v>
      </c>
      <c r="D43" s="77">
        <f>7.76*C43/100</f>
        <v>1.5519999999999998</v>
      </c>
      <c r="E43" s="77">
        <f>2.65*C43/100</f>
        <v>0.53</v>
      </c>
      <c r="F43" s="77">
        <f>53.25*C43/100</f>
        <v>10.65</v>
      </c>
      <c r="G43" s="77">
        <f>273*C43/100</f>
        <v>54.6</v>
      </c>
    </row>
    <row r="44" spans="1:7" s="7" customFormat="1" ht="79.5" customHeight="1">
      <c r="A44" s="61"/>
      <c r="B44" s="72" t="s">
        <v>3</v>
      </c>
      <c r="C44" s="80"/>
      <c r="D44" s="81">
        <f t="shared" ref="D44:G44" si="4">SUM(D39:D43)</f>
        <v>8.0250000000000004</v>
      </c>
      <c r="E44" s="81">
        <f t="shared" si="4"/>
        <v>18.587000000000003</v>
      </c>
      <c r="F44" s="81">
        <f t="shared" si="4"/>
        <v>24.432000000000002</v>
      </c>
      <c r="G44" s="81">
        <f t="shared" si="4"/>
        <v>298.57600000000002</v>
      </c>
    </row>
    <row r="45" spans="1:7" s="13" customFormat="1" ht="72" customHeight="1">
      <c r="A45" s="149" t="s">
        <v>64</v>
      </c>
      <c r="B45" s="152"/>
      <c r="C45" s="152"/>
      <c r="D45" s="152"/>
      <c r="E45" s="152"/>
      <c r="F45" s="152"/>
      <c r="G45" s="152"/>
    </row>
    <row r="46" spans="1:7" s="14" customFormat="1" ht="44.25" customHeight="1">
      <c r="A46" s="82">
        <v>1</v>
      </c>
      <c r="B46" s="75" t="s">
        <v>71</v>
      </c>
      <c r="C46" s="83">
        <v>300</v>
      </c>
      <c r="D46" s="84">
        <f>0*C46/100</f>
        <v>0</v>
      </c>
      <c r="E46" s="84">
        <v>0</v>
      </c>
      <c r="F46" s="84">
        <f>0*C46/100</f>
        <v>0</v>
      </c>
      <c r="G46" s="84">
        <f>0*C46/100</f>
        <v>0</v>
      </c>
    </row>
    <row r="47" spans="1:7" s="40" customFormat="1" ht="41.25" customHeight="1">
      <c r="A47" s="83">
        <v>2</v>
      </c>
      <c r="B47" s="75" t="s">
        <v>171</v>
      </c>
      <c r="C47" s="76">
        <v>80</v>
      </c>
      <c r="D47" s="84">
        <f>0.8*C47/100</f>
        <v>0.64</v>
      </c>
      <c r="E47" s="84">
        <f>0.2*C47/100</f>
        <v>0.16</v>
      </c>
      <c r="F47" s="84">
        <f>7.5*C47/100</f>
        <v>6</v>
      </c>
      <c r="G47" s="84">
        <f>38*C47/100</f>
        <v>30.4</v>
      </c>
    </row>
    <row r="48" spans="1:7" s="13" customFormat="1" ht="61.5" customHeight="1">
      <c r="A48" s="82"/>
      <c r="B48" s="72" t="s">
        <v>3</v>
      </c>
      <c r="C48" s="80"/>
      <c r="D48" s="81">
        <f t="shared" ref="D48:G48" si="5">SUM(D46:D47)</f>
        <v>0.64</v>
      </c>
      <c r="E48" s="81">
        <f t="shared" si="5"/>
        <v>0.16</v>
      </c>
      <c r="F48" s="81">
        <f t="shared" si="5"/>
        <v>6</v>
      </c>
      <c r="G48" s="81">
        <f t="shared" si="5"/>
        <v>30.4</v>
      </c>
    </row>
    <row r="49" spans="1:7" s="13" customFormat="1" ht="79.5" customHeight="1">
      <c r="A49" s="149" t="s">
        <v>4</v>
      </c>
      <c r="B49" s="150"/>
      <c r="C49" s="150"/>
      <c r="D49" s="150"/>
      <c r="E49" s="150"/>
      <c r="F49" s="150"/>
      <c r="G49" s="151"/>
    </row>
    <row r="50" spans="1:7" s="7" customFormat="1" ht="61.5">
      <c r="A50" s="61">
        <v>1</v>
      </c>
      <c r="B50" s="75" t="s">
        <v>172</v>
      </c>
      <c r="C50" s="76">
        <v>60</v>
      </c>
      <c r="D50" s="77">
        <f>12.38*C50/100</f>
        <v>7.4280000000000008</v>
      </c>
      <c r="E50" s="77">
        <f>13.07*C50/100</f>
        <v>7.8420000000000005</v>
      </c>
      <c r="F50" s="77">
        <f>1.8*C50/100</f>
        <v>1.08</v>
      </c>
      <c r="G50" s="77">
        <f>174.9*C50/100</f>
        <v>104.94</v>
      </c>
    </row>
    <row r="51" spans="1:7" s="7" customFormat="1" ht="46.5" customHeight="1">
      <c r="A51" s="61">
        <v>2</v>
      </c>
      <c r="B51" s="85" t="s">
        <v>75</v>
      </c>
      <c r="C51" s="86">
        <v>180</v>
      </c>
      <c r="D51" s="77">
        <f>1.19*C51/100</f>
        <v>2.1419999999999999</v>
      </c>
      <c r="E51" s="77">
        <f>1.88*C51/100</f>
        <v>3.3839999999999999</v>
      </c>
      <c r="F51" s="77">
        <f>1.4*C51/100</f>
        <v>2.5199999999999996</v>
      </c>
      <c r="G51" s="77">
        <f>37.46*C51/100</f>
        <v>67.427999999999997</v>
      </c>
    </row>
    <row r="52" spans="1:7" s="10" customFormat="1" ht="46.5" customHeight="1">
      <c r="A52" s="61">
        <v>3</v>
      </c>
      <c r="B52" s="75" t="s">
        <v>128</v>
      </c>
      <c r="C52" s="76">
        <v>20</v>
      </c>
      <c r="D52" s="87">
        <f>12.7*C52/100</f>
        <v>2.54</v>
      </c>
      <c r="E52" s="87">
        <f>11.5*C52/100</f>
        <v>2.2999999999999998</v>
      </c>
      <c r="F52" s="87">
        <f>0.7*C52/100</f>
        <v>0.14000000000000001</v>
      </c>
      <c r="G52" s="87">
        <f>157*C52/100</f>
        <v>31.4</v>
      </c>
    </row>
    <row r="53" spans="1:7" s="13" customFormat="1" ht="49.5" customHeight="1">
      <c r="A53" s="61">
        <v>4</v>
      </c>
      <c r="B53" s="88" t="s">
        <v>76</v>
      </c>
      <c r="C53" s="76">
        <v>70</v>
      </c>
      <c r="D53" s="77">
        <f>13.38*C53/100</f>
        <v>9.3659999999999997</v>
      </c>
      <c r="E53" s="77">
        <f>12.46*C53/100</f>
        <v>8.7220000000000013</v>
      </c>
      <c r="F53" s="77">
        <f>3.41*C53/100</f>
        <v>2.387</v>
      </c>
      <c r="G53" s="77">
        <f>161.58*C53/100</f>
        <v>113.10600000000001</v>
      </c>
    </row>
    <row r="54" spans="1:7" s="7" customFormat="1" ht="43.5" customHeight="1">
      <c r="A54" s="61">
        <v>5</v>
      </c>
      <c r="B54" s="78" t="s">
        <v>51</v>
      </c>
      <c r="C54" s="76">
        <v>150</v>
      </c>
      <c r="D54" s="77">
        <f>1.73*C54/100</f>
        <v>2.5950000000000002</v>
      </c>
      <c r="E54" s="77">
        <f>4.63*C54/100</f>
        <v>6.9450000000000003</v>
      </c>
      <c r="F54" s="77">
        <f>7.49*C54/100</f>
        <v>11.234999999999999</v>
      </c>
      <c r="G54" s="77">
        <f>85.49*C54/100</f>
        <v>128.23500000000001</v>
      </c>
    </row>
    <row r="55" spans="1:7" s="7" customFormat="1" ht="60.75" customHeight="1">
      <c r="A55" s="61">
        <v>6</v>
      </c>
      <c r="B55" s="88" t="s">
        <v>243</v>
      </c>
      <c r="C55" s="76">
        <v>200</v>
      </c>
      <c r="D55" s="77">
        <f>0.08*C55/100</f>
        <v>0.16</v>
      </c>
      <c r="E55" s="77">
        <f>0.06*C55/100</f>
        <v>0.12</v>
      </c>
      <c r="F55" s="77">
        <f>8*C55/100</f>
        <v>16</v>
      </c>
      <c r="G55" s="77">
        <f>23.36*C55/100</f>
        <v>46.72</v>
      </c>
    </row>
    <row r="56" spans="1:7" s="14" customFormat="1" ht="42.75" customHeight="1">
      <c r="A56" s="61">
        <v>7</v>
      </c>
      <c r="B56" s="75" t="s">
        <v>56</v>
      </c>
      <c r="C56" s="76">
        <v>20</v>
      </c>
      <c r="D56" s="77">
        <f>7.76*C56/100</f>
        <v>1.5519999999999998</v>
      </c>
      <c r="E56" s="77">
        <f>2.65*C56/100</f>
        <v>0.53</v>
      </c>
      <c r="F56" s="77">
        <f>53.25*C56/100</f>
        <v>10.65</v>
      </c>
      <c r="G56" s="77">
        <f>273*C56/100</f>
        <v>54.6</v>
      </c>
    </row>
    <row r="57" spans="1:7" s="13" customFormat="1" ht="64.5" customHeight="1">
      <c r="A57" s="61">
        <v>8</v>
      </c>
      <c r="B57" s="75" t="s">
        <v>55</v>
      </c>
      <c r="C57" s="76">
        <v>20</v>
      </c>
      <c r="D57" s="77">
        <f>5.86*C57/100</f>
        <v>1.1719999999999999</v>
      </c>
      <c r="E57" s="77">
        <f>0.94*C57/100</f>
        <v>0.18799999999999997</v>
      </c>
      <c r="F57" s="77">
        <f>44.4*C57/100</f>
        <v>8.8800000000000008</v>
      </c>
      <c r="G57" s="77">
        <f>189*C57/100</f>
        <v>37.799999999999997</v>
      </c>
    </row>
    <row r="58" spans="1:7" s="13" customFormat="1" ht="75" customHeight="1">
      <c r="A58" s="61"/>
      <c r="B58" s="72" t="s">
        <v>3</v>
      </c>
      <c r="C58" s="80"/>
      <c r="D58" s="89">
        <f t="shared" ref="D58:G58" si="6">SUM(D50:D57)</f>
        <v>26.954999999999998</v>
      </c>
      <c r="E58" s="89">
        <f t="shared" si="6"/>
        <v>30.031000000000002</v>
      </c>
      <c r="F58" s="89">
        <f t="shared" si="6"/>
        <v>52.891999999999996</v>
      </c>
      <c r="G58" s="89">
        <f t="shared" si="6"/>
        <v>584.22900000000004</v>
      </c>
    </row>
    <row r="59" spans="1:7" s="14" customFormat="1" ht="63" customHeight="1">
      <c r="A59" s="149" t="s">
        <v>15</v>
      </c>
      <c r="B59" s="150"/>
      <c r="C59" s="150"/>
      <c r="D59" s="150"/>
      <c r="E59" s="150"/>
      <c r="F59" s="150"/>
      <c r="G59" s="151"/>
    </row>
    <row r="60" spans="1:7" s="13" customFormat="1" ht="57.75" customHeight="1">
      <c r="A60" s="61">
        <v>1</v>
      </c>
      <c r="B60" s="90" t="s">
        <v>173</v>
      </c>
      <c r="C60" s="91">
        <v>120</v>
      </c>
      <c r="D60" s="92">
        <f>17.2*C60/100</f>
        <v>20.64</v>
      </c>
      <c r="E60" s="92">
        <f>10.24*C60/100</f>
        <v>12.288</v>
      </c>
      <c r="F60" s="92">
        <f>20.57*C60/100</f>
        <v>24.684000000000001</v>
      </c>
      <c r="G60" s="92">
        <f>249.36*C60/100</f>
        <v>299.23200000000003</v>
      </c>
    </row>
    <row r="61" spans="1:7" s="13" customFormat="1" ht="70.5" customHeight="1">
      <c r="A61" s="61">
        <v>2</v>
      </c>
      <c r="B61" s="78" t="s">
        <v>174</v>
      </c>
      <c r="C61" s="76">
        <v>20</v>
      </c>
      <c r="D61" s="79">
        <f>0.06*C61/100</f>
        <v>1.2E-2</v>
      </c>
      <c r="E61" s="79">
        <f>0.02*C61/100</f>
        <v>4.0000000000000001E-3</v>
      </c>
      <c r="F61" s="79">
        <f>14.74*C61/100</f>
        <v>2.948</v>
      </c>
      <c r="G61" s="79">
        <f>60.63*C61/100</f>
        <v>12.126000000000001</v>
      </c>
    </row>
    <row r="62" spans="1:7" s="13" customFormat="1" ht="72.75" customHeight="1">
      <c r="A62" s="61">
        <v>3</v>
      </c>
      <c r="B62" s="75" t="s">
        <v>79</v>
      </c>
      <c r="C62" s="76">
        <v>200</v>
      </c>
      <c r="D62" s="79">
        <f>2.8*C62/100</f>
        <v>5.6</v>
      </c>
      <c r="E62" s="79">
        <f>3.2*C62/100</f>
        <v>6.4</v>
      </c>
      <c r="F62" s="79">
        <f>4.1*C62/100</f>
        <v>8.1999999999999993</v>
      </c>
      <c r="G62" s="79">
        <f>56*C62/100</f>
        <v>112</v>
      </c>
    </row>
    <row r="63" spans="1:7" s="13" customFormat="1" ht="63" customHeight="1">
      <c r="A63" s="61">
        <v>4</v>
      </c>
      <c r="B63" s="75" t="s">
        <v>108</v>
      </c>
      <c r="C63" s="76">
        <v>50</v>
      </c>
      <c r="D63" s="77">
        <f>7.88*C63/100</f>
        <v>3.94</v>
      </c>
      <c r="E63" s="77">
        <f>5.32*C63/100</f>
        <v>2.66</v>
      </c>
      <c r="F63" s="77">
        <f>40.5*C63/100</f>
        <v>20.25</v>
      </c>
      <c r="G63" s="77">
        <f>264.67*C63/100</f>
        <v>132.33500000000001</v>
      </c>
    </row>
    <row r="64" spans="1:7" s="7" customFormat="1" ht="91.5" customHeight="1">
      <c r="A64" s="61"/>
      <c r="B64" s="72" t="s">
        <v>3</v>
      </c>
      <c r="C64" s="80"/>
      <c r="D64" s="81">
        <f t="shared" ref="D64:G64" si="7">SUM(D60:D63)</f>
        <v>30.192000000000004</v>
      </c>
      <c r="E64" s="81">
        <f t="shared" si="7"/>
        <v>21.352</v>
      </c>
      <c r="F64" s="81">
        <f t="shared" si="7"/>
        <v>56.082000000000001</v>
      </c>
      <c r="G64" s="81">
        <f t="shared" si="7"/>
        <v>555.69299999999998</v>
      </c>
    </row>
    <row r="65" spans="1:7" s="7" customFormat="1" ht="204.75" customHeight="1">
      <c r="A65" s="61"/>
      <c r="B65" s="72" t="s">
        <v>6</v>
      </c>
      <c r="C65" s="80"/>
      <c r="D65" s="89">
        <f t="shared" ref="D65:G65" si="8">D44+D48+D58+D64</f>
        <v>65.811999999999998</v>
      </c>
      <c r="E65" s="89">
        <f t="shared" si="8"/>
        <v>70.13000000000001</v>
      </c>
      <c r="F65" s="89">
        <f t="shared" si="8"/>
        <v>139.40600000000001</v>
      </c>
      <c r="G65" s="89">
        <f t="shared" si="8"/>
        <v>1468.8980000000001</v>
      </c>
    </row>
    <row r="66" spans="1:7" s="13" customFormat="1" ht="100.5" customHeight="1">
      <c r="A66" s="155" t="s">
        <v>19</v>
      </c>
      <c r="B66" s="134"/>
      <c r="C66" s="134"/>
      <c r="D66" s="134"/>
      <c r="E66" s="134"/>
      <c r="F66" s="134"/>
      <c r="G66" s="134"/>
    </row>
    <row r="67" spans="1:7" s="16" customFormat="1" ht="39" customHeight="1">
      <c r="A67" s="156" t="s">
        <v>65</v>
      </c>
      <c r="B67" s="157"/>
      <c r="C67" s="157"/>
      <c r="D67" s="157"/>
      <c r="E67" s="157"/>
      <c r="F67" s="157"/>
      <c r="G67" s="158"/>
    </row>
    <row r="68" spans="1:7" s="16" customFormat="1" ht="56.25" customHeight="1">
      <c r="A68" s="82">
        <v>1</v>
      </c>
      <c r="B68" s="78" t="s">
        <v>80</v>
      </c>
      <c r="C68" s="76">
        <v>200</v>
      </c>
      <c r="D68" s="77">
        <f>3.24*C68/100</f>
        <v>6.48</v>
      </c>
      <c r="E68" s="77">
        <f>3.64*C68/100</f>
        <v>7.28</v>
      </c>
      <c r="F68" s="77">
        <f>9.92*C68/100</f>
        <v>19.84</v>
      </c>
      <c r="G68" s="77">
        <f>96.56*C68/100</f>
        <v>193.12</v>
      </c>
    </row>
    <row r="69" spans="1:7" s="7" customFormat="1" ht="56.25" customHeight="1">
      <c r="A69" s="82">
        <v>2</v>
      </c>
      <c r="B69" s="88" t="s">
        <v>107</v>
      </c>
      <c r="C69" s="76">
        <v>200</v>
      </c>
      <c r="D69" s="79">
        <f>1.69*C69/100</f>
        <v>3.38</v>
      </c>
      <c r="E69" s="79">
        <f>1.72*C69/100</f>
        <v>3.44</v>
      </c>
      <c r="F69" s="79">
        <f>7.42*C69/100</f>
        <v>14.84</v>
      </c>
      <c r="G69" s="77">
        <f>52.26*C69/100</f>
        <v>104.52</v>
      </c>
    </row>
    <row r="70" spans="1:7" s="7" customFormat="1" ht="51" customHeight="1">
      <c r="A70" s="82">
        <v>3</v>
      </c>
      <c r="B70" s="75" t="s">
        <v>175</v>
      </c>
      <c r="C70" s="76">
        <v>10</v>
      </c>
      <c r="D70" s="79">
        <f>26*C70/100</f>
        <v>2.6</v>
      </c>
      <c r="E70" s="79">
        <f>26.1*C70/100</f>
        <v>2.61</v>
      </c>
      <c r="F70" s="79">
        <f>0*C70/100</f>
        <v>0</v>
      </c>
      <c r="G70" s="77">
        <f>344*C70/100</f>
        <v>34.4</v>
      </c>
    </row>
    <row r="71" spans="1:7" s="7" customFormat="1" ht="54.75" customHeight="1">
      <c r="A71" s="82">
        <v>4</v>
      </c>
      <c r="B71" s="85" t="s">
        <v>56</v>
      </c>
      <c r="C71" s="76">
        <v>20</v>
      </c>
      <c r="D71" s="77">
        <f>7.76*C71/100</f>
        <v>1.5519999999999998</v>
      </c>
      <c r="E71" s="77">
        <f>2.65*C71/100</f>
        <v>0.53</v>
      </c>
      <c r="F71" s="77">
        <f>53.25*C71/100</f>
        <v>10.65</v>
      </c>
      <c r="G71" s="77">
        <f>273*C71/100</f>
        <v>54.6</v>
      </c>
    </row>
    <row r="72" spans="1:7" s="7" customFormat="1" ht="43.5" customHeight="1">
      <c r="A72" s="82"/>
      <c r="B72" s="72" t="s">
        <v>3</v>
      </c>
      <c r="C72" s="76"/>
      <c r="D72" s="81">
        <f t="shared" ref="D72:G72" si="9">SUM(D68:D71)</f>
        <v>14.011999999999999</v>
      </c>
      <c r="E72" s="81">
        <f t="shared" si="9"/>
        <v>13.86</v>
      </c>
      <c r="F72" s="81">
        <f t="shared" si="9"/>
        <v>45.33</v>
      </c>
      <c r="G72" s="81">
        <f t="shared" si="9"/>
        <v>386.64</v>
      </c>
    </row>
    <row r="73" spans="1:7" s="7" customFormat="1" ht="51.75" customHeight="1">
      <c r="A73" s="156" t="s">
        <v>64</v>
      </c>
      <c r="B73" s="157"/>
      <c r="C73" s="157"/>
      <c r="D73" s="157"/>
      <c r="E73" s="157"/>
      <c r="F73" s="157"/>
      <c r="G73" s="157"/>
    </row>
    <row r="74" spans="1:7" s="7" customFormat="1" ht="30.75">
      <c r="A74" s="82">
        <v>1</v>
      </c>
      <c r="B74" s="75" t="s">
        <v>71</v>
      </c>
      <c r="C74" s="83">
        <v>300</v>
      </c>
      <c r="D74" s="84">
        <f>0*C74/100</f>
        <v>0</v>
      </c>
      <c r="E74" s="84">
        <v>0</v>
      </c>
      <c r="F74" s="84">
        <f>0*C74/100</f>
        <v>0</v>
      </c>
      <c r="G74" s="84">
        <f>0*C74/100</f>
        <v>0</v>
      </c>
    </row>
    <row r="75" spans="1:7" s="19" customFormat="1" ht="30.75">
      <c r="A75" s="82">
        <v>2</v>
      </c>
      <c r="B75" s="75" t="s">
        <v>166</v>
      </c>
      <c r="C75" s="76">
        <v>80</v>
      </c>
      <c r="D75" s="84">
        <f>1.5*C75/100</f>
        <v>1.2</v>
      </c>
      <c r="E75" s="84">
        <f>0.5*C75/100</f>
        <v>0.4</v>
      </c>
      <c r="F75" s="84">
        <f>21*C75/100</f>
        <v>16.8</v>
      </c>
      <c r="G75" s="84">
        <f>96*C75/100</f>
        <v>76.8</v>
      </c>
    </row>
    <row r="76" spans="1:7" s="7" customFormat="1" ht="73.5" customHeight="1">
      <c r="A76" s="82"/>
      <c r="B76" s="72" t="s">
        <v>3</v>
      </c>
      <c r="C76" s="76"/>
      <c r="D76" s="81">
        <f t="shared" ref="D76:G76" si="10">SUM(D74:D75)</f>
        <v>1.2</v>
      </c>
      <c r="E76" s="81">
        <f t="shared" si="10"/>
        <v>0.4</v>
      </c>
      <c r="F76" s="81">
        <f t="shared" si="10"/>
        <v>16.8</v>
      </c>
      <c r="G76" s="81">
        <f t="shared" si="10"/>
        <v>76.8</v>
      </c>
    </row>
    <row r="77" spans="1:7" s="7" customFormat="1" ht="102" customHeight="1">
      <c r="A77" s="156" t="s">
        <v>4</v>
      </c>
      <c r="B77" s="157"/>
      <c r="C77" s="157"/>
      <c r="D77" s="157"/>
      <c r="E77" s="157"/>
      <c r="F77" s="157"/>
      <c r="G77" s="157"/>
    </row>
    <row r="78" spans="1:7" s="7" customFormat="1" ht="61.5">
      <c r="A78" s="82">
        <v>1</v>
      </c>
      <c r="B78" s="93" t="s">
        <v>150</v>
      </c>
      <c r="C78" s="76">
        <v>60</v>
      </c>
      <c r="D78" s="77">
        <f>1.53*C78/100</f>
        <v>0.91799999999999993</v>
      </c>
      <c r="E78" s="77">
        <f>5.08*C78/100</f>
        <v>3.048</v>
      </c>
      <c r="F78" s="77">
        <f>4.54*C78/100</f>
        <v>2.7239999999999998</v>
      </c>
      <c r="G78" s="77">
        <f>70.62*C78/100</f>
        <v>42.372000000000007</v>
      </c>
    </row>
    <row r="79" spans="1:7" s="7" customFormat="1" ht="44.25" customHeight="1">
      <c r="A79" s="82">
        <v>2</v>
      </c>
      <c r="B79" s="88" t="s">
        <v>81</v>
      </c>
      <c r="C79" s="76">
        <v>180</v>
      </c>
      <c r="D79" s="77">
        <f>1.8*C79/100</f>
        <v>3.24</v>
      </c>
      <c r="E79" s="77">
        <f>3.92*C79/100</f>
        <v>7.056</v>
      </c>
      <c r="F79" s="77">
        <f>5.82*C79/100</f>
        <v>10.476000000000001</v>
      </c>
      <c r="G79" s="77">
        <f>69.15*C79/100</f>
        <v>124.47000000000001</v>
      </c>
    </row>
    <row r="80" spans="1:7" s="7" customFormat="1" ht="66.75" customHeight="1">
      <c r="A80" s="82">
        <v>3</v>
      </c>
      <c r="B80" s="88" t="s">
        <v>82</v>
      </c>
      <c r="C80" s="76">
        <v>20</v>
      </c>
      <c r="D80" s="77">
        <f>28.25*C80/100</f>
        <v>5.65</v>
      </c>
      <c r="E80" s="77">
        <f>4.37*C80/100</f>
        <v>0.87400000000000011</v>
      </c>
      <c r="F80" s="77">
        <f>0*C80/100</f>
        <v>0</v>
      </c>
      <c r="G80" s="77">
        <f>143.44*C80/100</f>
        <v>28.688000000000002</v>
      </c>
    </row>
    <row r="81" spans="1:7" s="7" customFormat="1" ht="58.5" customHeight="1">
      <c r="A81" s="82">
        <v>4</v>
      </c>
      <c r="B81" s="78" t="s">
        <v>83</v>
      </c>
      <c r="C81" s="76">
        <v>70</v>
      </c>
      <c r="D81" s="79">
        <f>13.67*C81/100</f>
        <v>9.5689999999999991</v>
      </c>
      <c r="E81" s="79">
        <f>9.82*C81/100</f>
        <v>6.8739999999999997</v>
      </c>
      <c r="F81" s="79">
        <f>7.35*C81/100</f>
        <v>5.1449999999999996</v>
      </c>
      <c r="G81" s="79">
        <f>174.52*C81/100</f>
        <v>122.16400000000002</v>
      </c>
    </row>
    <row r="82" spans="1:7" s="13" customFormat="1" ht="59.25" customHeight="1">
      <c r="A82" s="82">
        <v>5</v>
      </c>
      <c r="B82" s="78" t="s">
        <v>45</v>
      </c>
      <c r="C82" s="76">
        <v>150</v>
      </c>
      <c r="D82" s="77">
        <f>5.58*C82/100</f>
        <v>8.3699999999999992</v>
      </c>
      <c r="E82" s="77">
        <f>5.61*C82/100</f>
        <v>8.4149999999999991</v>
      </c>
      <c r="F82" s="77">
        <f>24.71*C82/100</f>
        <v>37.064999999999998</v>
      </c>
      <c r="G82" s="77">
        <f>172.48*C82/100</f>
        <v>258.72000000000003</v>
      </c>
    </row>
    <row r="83" spans="1:7" s="13" customFormat="1" ht="49.5" customHeight="1">
      <c r="A83" s="82">
        <v>6</v>
      </c>
      <c r="B83" s="75" t="s">
        <v>176</v>
      </c>
      <c r="C83" s="76">
        <v>200</v>
      </c>
      <c r="D83" s="77">
        <f>0.09*C83/100</f>
        <v>0.18</v>
      </c>
      <c r="E83" s="77">
        <f>0.02*C83/100</f>
        <v>0.04</v>
      </c>
      <c r="F83" s="77">
        <f>9.1*C83/100</f>
        <v>18.2</v>
      </c>
      <c r="G83" s="77">
        <f>27.67*C83/100</f>
        <v>55.34</v>
      </c>
    </row>
    <row r="84" spans="1:7" s="13" customFormat="1" ht="54.75" customHeight="1">
      <c r="A84" s="82">
        <v>7</v>
      </c>
      <c r="B84" s="75" t="s">
        <v>56</v>
      </c>
      <c r="C84" s="76">
        <v>20</v>
      </c>
      <c r="D84" s="77">
        <f>7.76*C84/100</f>
        <v>1.5519999999999998</v>
      </c>
      <c r="E84" s="77">
        <f>2.65*C84/100</f>
        <v>0.53</v>
      </c>
      <c r="F84" s="77">
        <f>53.25*C84/100</f>
        <v>10.65</v>
      </c>
      <c r="G84" s="77">
        <f>273*C84/100</f>
        <v>54.6</v>
      </c>
    </row>
    <row r="85" spans="1:7" s="13" customFormat="1" ht="60" customHeight="1">
      <c r="A85" s="82">
        <v>8</v>
      </c>
      <c r="B85" s="75" t="s">
        <v>55</v>
      </c>
      <c r="C85" s="76">
        <v>20</v>
      </c>
      <c r="D85" s="77">
        <f>5.86*C85/100</f>
        <v>1.1719999999999999</v>
      </c>
      <c r="E85" s="77">
        <f>0.94*C85/100</f>
        <v>0.18799999999999997</v>
      </c>
      <c r="F85" s="77">
        <f>44.4*C85/100</f>
        <v>8.8800000000000008</v>
      </c>
      <c r="G85" s="77">
        <f>189*C85/100</f>
        <v>37.799999999999997</v>
      </c>
    </row>
    <row r="86" spans="1:7" s="7" customFormat="1" ht="68.25" customHeight="1">
      <c r="A86" s="82"/>
      <c r="B86" s="72" t="s">
        <v>3</v>
      </c>
      <c r="C86" s="80"/>
      <c r="D86" s="89">
        <f t="shared" ref="D86:G86" si="11">SUM(D78:D85)</f>
        <v>30.651</v>
      </c>
      <c r="E86" s="89">
        <f t="shared" si="11"/>
        <v>27.024999999999999</v>
      </c>
      <c r="F86" s="89">
        <f t="shared" si="11"/>
        <v>93.14</v>
      </c>
      <c r="G86" s="89">
        <f t="shared" si="11"/>
        <v>724.15400000000011</v>
      </c>
    </row>
    <row r="87" spans="1:7" s="7" customFormat="1" ht="90.75" customHeight="1">
      <c r="A87" s="156" t="s">
        <v>15</v>
      </c>
      <c r="B87" s="157"/>
      <c r="C87" s="157"/>
      <c r="D87" s="157"/>
      <c r="E87" s="157"/>
      <c r="F87" s="157"/>
      <c r="G87" s="157"/>
    </row>
    <row r="88" spans="1:7" ht="78" customHeight="1">
      <c r="A88" s="82">
        <v>1</v>
      </c>
      <c r="B88" s="75" t="s">
        <v>242</v>
      </c>
      <c r="C88" s="83">
        <v>220</v>
      </c>
      <c r="D88" s="79">
        <v>18.899999999999999</v>
      </c>
      <c r="E88" s="79">
        <v>76.92</v>
      </c>
      <c r="F88" s="79">
        <v>18.7</v>
      </c>
      <c r="G88" s="79">
        <v>995.7</v>
      </c>
    </row>
    <row r="89" spans="1:7" s="10" customFormat="1" ht="90" customHeight="1">
      <c r="A89" s="82">
        <v>2</v>
      </c>
      <c r="B89" s="75" t="s">
        <v>177</v>
      </c>
      <c r="C89" s="76">
        <v>200</v>
      </c>
      <c r="D89" s="79">
        <f>0.07*C89/100</f>
        <v>0.14000000000000001</v>
      </c>
      <c r="E89" s="79">
        <f>0*C89/100</f>
        <v>0</v>
      </c>
      <c r="F89" s="79">
        <f>9.24*C89/100</f>
        <v>18.48</v>
      </c>
      <c r="G89" s="79">
        <f>28.66*C89/100</f>
        <v>57.32</v>
      </c>
    </row>
    <row r="90" spans="1:7" s="7" customFormat="1" ht="84" customHeight="1">
      <c r="A90" s="82">
        <v>3</v>
      </c>
      <c r="B90" s="94" t="s">
        <v>178</v>
      </c>
      <c r="C90" s="76">
        <v>25</v>
      </c>
      <c r="D90" s="79">
        <f>6.16*C90/100</f>
        <v>1.54</v>
      </c>
      <c r="E90" s="79">
        <f>3.02*C90/100</f>
        <v>0.755</v>
      </c>
      <c r="F90" s="79">
        <f>39.49*C90/100</f>
        <v>9.8725000000000005</v>
      </c>
      <c r="G90" s="79">
        <f>229.07*C90/100</f>
        <v>57.267499999999998</v>
      </c>
    </row>
    <row r="91" spans="1:7" s="7" customFormat="1" ht="73.5" customHeight="1">
      <c r="A91" s="82">
        <v>4</v>
      </c>
      <c r="B91" s="75" t="s">
        <v>56</v>
      </c>
      <c r="C91" s="76">
        <v>20</v>
      </c>
      <c r="D91" s="77">
        <f>7.76*C91/100</f>
        <v>1.5519999999999998</v>
      </c>
      <c r="E91" s="77">
        <f>2.65*C91/100</f>
        <v>0.53</v>
      </c>
      <c r="F91" s="77">
        <f>53.25*C91/100</f>
        <v>10.65</v>
      </c>
      <c r="G91" s="77">
        <f>273*C91/100</f>
        <v>54.6</v>
      </c>
    </row>
    <row r="92" spans="1:7" s="13" customFormat="1" ht="84.75" customHeight="1">
      <c r="A92" s="82"/>
      <c r="B92" s="72" t="s">
        <v>3</v>
      </c>
      <c r="C92" s="76"/>
      <c r="D92" s="89">
        <f t="shared" ref="D92:G92" si="12">SUM(D88:D91)</f>
        <v>22.131999999999998</v>
      </c>
      <c r="E92" s="89">
        <f t="shared" si="12"/>
        <v>78.204999999999998</v>
      </c>
      <c r="F92" s="89">
        <f t="shared" si="12"/>
        <v>57.702500000000001</v>
      </c>
      <c r="G92" s="89">
        <f t="shared" si="12"/>
        <v>1164.8874999999998</v>
      </c>
    </row>
    <row r="93" spans="1:7" s="13" customFormat="1" ht="144.75" customHeight="1">
      <c r="A93" s="82"/>
      <c r="B93" s="72" t="s">
        <v>6</v>
      </c>
      <c r="C93" s="76"/>
      <c r="D93" s="89">
        <f>D72+D86+D76+D92</f>
        <v>67.995000000000005</v>
      </c>
      <c r="E93" s="89">
        <f>E72+E86+E76+E92</f>
        <v>119.49</v>
      </c>
      <c r="F93" s="89">
        <f>F72+F86+F76+F92</f>
        <v>212.97250000000003</v>
      </c>
      <c r="G93" s="89">
        <f>G72+G86+G76+G92</f>
        <v>2352.4814999999999</v>
      </c>
    </row>
    <row r="94" spans="1:7" s="13" customFormat="1" ht="52.5" customHeight="1">
      <c r="A94" s="133" t="s">
        <v>20</v>
      </c>
      <c r="B94" s="134"/>
      <c r="C94" s="134"/>
      <c r="D94" s="134"/>
      <c r="E94" s="134"/>
      <c r="F94" s="134"/>
      <c r="G94" s="134"/>
    </row>
    <row r="95" spans="1:7" s="13" customFormat="1" ht="48.75" customHeight="1">
      <c r="A95" s="156" t="s">
        <v>65</v>
      </c>
      <c r="B95" s="157"/>
      <c r="C95" s="157"/>
      <c r="D95" s="157"/>
      <c r="E95" s="157"/>
      <c r="F95" s="157"/>
      <c r="G95" s="157"/>
    </row>
    <row r="96" spans="1:7" s="45" customFormat="1" ht="61.5">
      <c r="A96" s="82">
        <v>1</v>
      </c>
      <c r="B96" s="88" t="s">
        <v>129</v>
      </c>
      <c r="C96" s="76">
        <v>200</v>
      </c>
      <c r="D96" s="77">
        <f>4.5*C96/100</f>
        <v>9</v>
      </c>
      <c r="E96" s="77">
        <f>6.25*C96/100</f>
        <v>12.5</v>
      </c>
      <c r="F96" s="77">
        <f>16.34*C96/100</f>
        <v>32.68</v>
      </c>
      <c r="G96" s="77">
        <f>140*C96/100</f>
        <v>280</v>
      </c>
    </row>
    <row r="97" spans="1:7" s="7" customFormat="1" ht="60" customHeight="1">
      <c r="A97" s="82">
        <v>2</v>
      </c>
      <c r="B97" s="78" t="s">
        <v>179</v>
      </c>
      <c r="C97" s="76">
        <v>200</v>
      </c>
      <c r="D97" s="79">
        <f>0*C97/100</f>
        <v>0</v>
      </c>
      <c r="E97" s="79">
        <f>0*C97/100</f>
        <v>0</v>
      </c>
      <c r="F97" s="79">
        <f>4.99*C97/100</f>
        <v>9.98</v>
      </c>
      <c r="G97" s="79">
        <f>19.95*C97/100</f>
        <v>39.9</v>
      </c>
    </row>
    <row r="98" spans="1:7" s="13" customFormat="1" ht="30.75">
      <c r="A98" s="82">
        <v>3</v>
      </c>
      <c r="B98" s="75" t="s">
        <v>241</v>
      </c>
      <c r="C98" s="76">
        <v>10</v>
      </c>
      <c r="D98" s="79">
        <f>0.5*C98/100</f>
        <v>0.05</v>
      </c>
      <c r="E98" s="79">
        <f>82.5*C98/100</f>
        <v>8.25</v>
      </c>
      <c r="F98" s="79">
        <f>0.8*C98/100</f>
        <v>0.08</v>
      </c>
      <c r="G98" s="79">
        <f>748*C98/100</f>
        <v>74.8</v>
      </c>
    </row>
    <row r="99" spans="1:7" s="13" customFormat="1" ht="57" customHeight="1">
      <c r="A99" s="82">
        <v>4</v>
      </c>
      <c r="B99" s="75" t="s">
        <v>56</v>
      </c>
      <c r="C99" s="76">
        <v>20</v>
      </c>
      <c r="D99" s="77">
        <f>7.76*C99/100</f>
        <v>1.5519999999999998</v>
      </c>
      <c r="E99" s="77">
        <f>2.65*C99/100</f>
        <v>0.53</v>
      </c>
      <c r="F99" s="77">
        <f>53.25*C99/100</f>
        <v>10.65</v>
      </c>
      <c r="G99" s="77">
        <f>273*C99/100</f>
        <v>54.6</v>
      </c>
    </row>
    <row r="100" spans="1:7" s="46" customFormat="1" ht="84.75" customHeight="1">
      <c r="A100" s="95"/>
      <c r="B100" s="72" t="s">
        <v>3</v>
      </c>
      <c r="C100" s="80"/>
      <c r="D100" s="81">
        <f t="shared" ref="D100:G100" si="13">SUM(D96:D99)</f>
        <v>10.602</v>
      </c>
      <c r="E100" s="81">
        <f t="shared" si="13"/>
        <v>21.28</v>
      </c>
      <c r="F100" s="81">
        <f t="shared" si="13"/>
        <v>53.389999999999993</v>
      </c>
      <c r="G100" s="81">
        <f t="shared" si="13"/>
        <v>449.3</v>
      </c>
    </row>
    <row r="101" spans="1:7" s="7" customFormat="1" ht="85.5" customHeight="1">
      <c r="A101" s="159" t="s">
        <v>64</v>
      </c>
      <c r="B101" s="160"/>
      <c r="C101" s="160"/>
      <c r="D101" s="160"/>
      <c r="E101" s="160"/>
      <c r="F101" s="160"/>
      <c r="G101" s="160"/>
    </row>
    <row r="102" spans="1:7" s="13" customFormat="1" ht="60" customHeight="1">
      <c r="A102" s="82">
        <v>1</v>
      </c>
      <c r="B102" s="75" t="s">
        <v>71</v>
      </c>
      <c r="C102" s="83">
        <v>300</v>
      </c>
      <c r="D102" s="84">
        <f>0*C102/100</f>
        <v>0</v>
      </c>
      <c r="E102" s="84">
        <v>0</v>
      </c>
      <c r="F102" s="84">
        <f>0*C102/100</f>
        <v>0</v>
      </c>
      <c r="G102" s="84">
        <f>0*C102/100</f>
        <v>0</v>
      </c>
    </row>
    <row r="103" spans="1:7" s="13" customFormat="1" ht="60.75" customHeight="1">
      <c r="A103" s="82">
        <v>2</v>
      </c>
      <c r="B103" s="75" t="s">
        <v>167</v>
      </c>
      <c r="C103" s="76">
        <v>80</v>
      </c>
      <c r="D103" s="77">
        <f>0.4*C103/100</f>
        <v>0.32</v>
      </c>
      <c r="E103" s="77">
        <f>0.3*C103/100</f>
        <v>0.24</v>
      </c>
      <c r="F103" s="77">
        <f>10.3*C103/100</f>
        <v>8.24</v>
      </c>
      <c r="G103" s="77">
        <f>47*C103/100</f>
        <v>37.6</v>
      </c>
    </row>
    <row r="104" spans="1:7" s="13" customFormat="1" ht="67.5" customHeight="1">
      <c r="A104" s="82"/>
      <c r="B104" s="72" t="s">
        <v>3</v>
      </c>
      <c r="C104" s="80"/>
      <c r="D104" s="81">
        <f t="shared" ref="D104:G104" si="14">SUM(D102:D103)</f>
        <v>0.32</v>
      </c>
      <c r="E104" s="81">
        <f t="shared" si="14"/>
        <v>0.24</v>
      </c>
      <c r="F104" s="81">
        <f t="shared" si="14"/>
        <v>8.24</v>
      </c>
      <c r="G104" s="81">
        <f t="shared" si="14"/>
        <v>37.6</v>
      </c>
    </row>
    <row r="105" spans="1:7" s="7" customFormat="1" ht="99" customHeight="1">
      <c r="A105" s="159" t="s">
        <v>4</v>
      </c>
      <c r="B105" s="160"/>
      <c r="C105" s="160"/>
      <c r="D105" s="160"/>
      <c r="E105" s="160"/>
      <c r="F105" s="160"/>
      <c r="G105" s="160"/>
    </row>
    <row r="106" spans="1:7" s="7" customFormat="1" ht="79.5" customHeight="1">
      <c r="A106" s="82">
        <v>1</v>
      </c>
      <c r="B106" s="75" t="s">
        <v>151</v>
      </c>
      <c r="C106" s="96">
        <v>60</v>
      </c>
      <c r="D106" s="77">
        <f>0.95*C106/100</f>
        <v>0.56999999999999995</v>
      </c>
      <c r="E106" s="77">
        <f>15.15*C106/100</f>
        <v>9.09</v>
      </c>
      <c r="F106" s="77">
        <f>3.19*C106/100</f>
        <v>1.9140000000000001</v>
      </c>
      <c r="G106" s="77">
        <f>155.01*C106/100</f>
        <v>93.005999999999986</v>
      </c>
    </row>
    <row r="107" spans="1:7" s="45" customFormat="1" ht="77.25" customHeight="1">
      <c r="A107" s="82">
        <v>2</v>
      </c>
      <c r="B107" s="78" t="s">
        <v>161</v>
      </c>
      <c r="C107" s="76">
        <v>200</v>
      </c>
      <c r="D107" s="77">
        <f>1.09*C107/100</f>
        <v>2.1800000000000002</v>
      </c>
      <c r="E107" s="77">
        <f>2.43*C107/100</f>
        <v>4.8600000000000003</v>
      </c>
      <c r="F107" s="77">
        <f>4.24*C107/100</f>
        <v>8.48</v>
      </c>
      <c r="G107" s="77">
        <f>48.94*C107/100</f>
        <v>97.88</v>
      </c>
    </row>
    <row r="108" spans="1:7" s="13" customFormat="1" ht="63" customHeight="1">
      <c r="A108" s="82">
        <v>3</v>
      </c>
      <c r="B108" s="78" t="s">
        <v>180</v>
      </c>
      <c r="C108" s="76">
        <v>70</v>
      </c>
      <c r="D108" s="77">
        <f>17.83*C108/100</f>
        <v>12.481</v>
      </c>
      <c r="E108" s="77">
        <f>0.93*C108/100</f>
        <v>0.65100000000000013</v>
      </c>
      <c r="F108" s="77">
        <f>0.45*C108/100</f>
        <v>0.315</v>
      </c>
      <c r="G108" s="77">
        <f>149.16*C108/100</f>
        <v>104.41199999999999</v>
      </c>
    </row>
    <row r="109" spans="1:7" s="7" customFormat="1" ht="66" customHeight="1">
      <c r="A109" s="82">
        <v>4</v>
      </c>
      <c r="B109" s="78" t="s">
        <v>10</v>
      </c>
      <c r="C109" s="76">
        <v>150</v>
      </c>
      <c r="D109" s="79">
        <f>2.13*C109/100</f>
        <v>3.1949999999999998</v>
      </c>
      <c r="E109" s="79">
        <f>4.94*C109/100</f>
        <v>7.410000000000001</v>
      </c>
      <c r="F109" s="79">
        <f>14.27*C109/100</f>
        <v>21.405000000000001</v>
      </c>
      <c r="G109" s="79">
        <f>110.31*C109/100</f>
        <v>165.465</v>
      </c>
    </row>
    <row r="110" spans="1:7" s="7" customFormat="1" ht="75" customHeight="1">
      <c r="A110" s="82">
        <v>5</v>
      </c>
      <c r="B110" s="94" t="s">
        <v>181</v>
      </c>
      <c r="C110" s="76">
        <v>200</v>
      </c>
      <c r="D110" s="77">
        <f>0.08*C110/100</f>
        <v>0.16</v>
      </c>
      <c r="E110" s="77">
        <f>0.08*C110/100</f>
        <v>0.16</v>
      </c>
      <c r="F110" s="77">
        <f>7.9*C110/100</f>
        <v>15.8</v>
      </c>
      <c r="G110" s="77">
        <f>23.36*C110/100</f>
        <v>46.72</v>
      </c>
    </row>
    <row r="111" spans="1:7" s="7" customFormat="1" ht="74.25" customHeight="1">
      <c r="A111" s="82">
        <v>6</v>
      </c>
      <c r="B111" s="75" t="s">
        <v>56</v>
      </c>
      <c r="C111" s="76">
        <v>20</v>
      </c>
      <c r="D111" s="77">
        <f>7.76*C111/100</f>
        <v>1.5519999999999998</v>
      </c>
      <c r="E111" s="77">
        <f>2.65*C111/100</f>
        <v>0.53</v>
      </c>
      <c r="F111" s="77">
        <f>53.25*C111/100</f>
        <v>10.65</v>
      </c>
      <c r="G111" s="77">
        <f>273*C111/100</f>
        <v>54.6</v>
      </c>
    </row>
    <row r="112" spans="1:7" s="7" customFormat="1" ht="60.75" customHeight="1">
      <c r="A112" s="82">
        <v>7</v>
      </c>
      <c r="B112" s="75" t="s">
        <v>55</v>
      </c>
      <c r="C112" s="76">
        <v>20</v>
      </c>
      <c r="D112" s="77">
        <f>5.86*C112/100</f>
        <v>1.1719999999999999</v>
      </c>
      <c r="E112" s="77">
        <f>0.94*C112/100</f>
        <v>0.18799999999999997</v>
      </c>
      <c r="F112" s="77">
        <f>44.4*C112/100</f>
        <v>8.8800000000000008</v>
      </c>
      <c r="G112" s="77">
        <f>189*C112/100</f>
        <v>37.799999999999997</v>
      </c>
    </row>
    <row r="113" spans="1:7" s="7" customFormat="1" ht="66" customHeight="1">
      <c r="A113" s="82"/>
      <c r="B113" s="72" t="s">
        <v>3</v>
      </c>
      <c r="C113" s="76"/>
      <c r="D113" s="81">
        <f>SUM(D106:D112)</f>
        <v>21.31</v>
      </c>
      <c r="E113" s="81">
        <f t="shared" ref="E113:G113" si="15">SUM(E106:E112)</f>
        <v>22.888999999999999</v>
      </c>
      <c r="F113" s="81">
        <f t="shared" si="15"/>
        <v>67.444000000000003</v>
      </c>
      <c r="G113" s="81">
        <f t="shared" si="15"/>
        <v>599.88299999999992</v>
      </c>
    </row>
    <row r="114" spans="1:7" s="7" customFormat="1" ht="84.75" customHeight="1">
      <c r="A114" s="159" t="s">
        <v>15</v>
      </c>
      <c r="B114" s="160"/>
      <c r="C114" s="160"/>
      <c r="D114" s="160"/>
      <c r="E114" s="160"/>
      <c r="F114" s="160"/>
      <c r="G114" s="160"/>
    </row>
    <row r="115" spans="1:7" s="7" customFormat="1" ht="84.75" customHeight="1">
      <c r="A115" s="82">
        <v>1</v>
      </c>
      <c r="B115" s="75" t="s">
        <v>182</v>
      </c>
      <c r="C115" s="76">
        <v>70</v>
      </c>
      <c r="D115" s="77">
        <f>7.61*C115/100</f>
        <v>5.3270000000000008</v>
      </c>
      <c r="E115" s="77">
        <f>9.37*C115/100</f>
        <v>6.5590000000000002</v>
      </c>
      <c r="F115" s="77">
        <f>9.87*C115/100</f>
        <v>6.9089999999999998</v>
      </c>
      <c r="G115" s="77">
        <f>158.91*C115/100</f>
        <v>111.23699999999999</v>
      </c>
    </row>
    <row r="116" spans="1:7" s="7" customFormat="1" ht="58.5" customHeight="1">
      <c r="A116" s="82">
        <v>2</v>
      </c>
      <c r="B116" s="75" t="s">
        <v>46</v>
      </c>
      <c r="C116" s="76">
        <v>150</v>
      </c>
      <c r="D116" s="77">
        <f>3.61*C116/100</f>
        <v>5.415</v>
      </c>
      <c r="E116" s="77">
        <f>4.47*C116/100</f>
        <v>6.7050000000000001</v>
      </c>
      <c r="F116" s="77">
        <f>19.28*C116/100</f>
        <v>28.92</v>
      </c>
      <c r="G116" s="77">
        <f>133.46*C116/100</f>
        <v>200.19</v>
      </c>
    </row>
    <row r="117" spans="1:7" s="45" customFormat="1" ht="77.25" customHeight="1">
      <c r="A117" s="82">
        <v>3</v>
      </c>
      <c r="B117" s="75" t="s">
        <v>183</v>
      </c>
      <c r="C117" s="76">
        <v>200</v>
      </c>
      <c r="D117" s="77">
        <f>0.28*C117/100</f>
        <v>0.56000000000000005</v>
      </c>
      <c r="E117" s="77">
        <f>0.06*C117/100</f>
        <v>0.12</v>
      </c>
      <c r="F117" s="77">
        <f>13.84*C117/100</f>
        <v>27.68</v>
      </c>
      <c r="G117" s="77">
        <f>47.69*C117/100</f>
        <v>95.38</v>
      </c>
    </row>
    <row r="118" spans="1:7" s="13" customFormat="1" ht="68.25" customHeight="1">
      <c r="A118" s="82">
        <v>4</v>
      </c>
      <c r="B118" s="78" t="s">
        <v>70</v>
      </c>
      <c r="C118" s="76">
        <v>25</v>
      </c>
      <c r="D118" s="79">
        <f>8.44*C118/100</f>
        <v>2.11</v>
      </c>
      <c r="E118" s="79">
        <f>7.36*C118/100</f>
        <v>1.84</v>
      </c>
      <c r="F118" s="79">
        <f>51.26*C118/100</f>
        <v>12.815</v>
      </c>
      <c r="G118" s="79">
        <f>305.5*C118/100</f>
        <v>76.375</v>
      </c>
    </row>
    <row r="119" spans="1:7" s="13" customFormat="1" ht="66.75" customHeight="1">
      <c r="A119" s="82">
        <v>5</v>
      </c>
      <c r="B119" s="75" t="s">
        <v>56</v>
      </c>
      <c r="C119" s="76">
        <v>20</v>
      </c>
      <c r="D119" s="77">
        <f>7.76*C119/100</f>
        <v>1.5519999999999998</v>
      </c>
      <c r="E119" s="77">
        <f>2.65*C119/100</f>
        <v>0.53</v>
      </c>
      <c r="F119" s="77">
        <f>53.25*C119/100</f>
        <v>10.65</v>
      </c>
      <c r="G119" s="77">
        <f>273*C119/100</f>
        <v>54.6</v>
      </c>
    </row>
    <row r="120" spans="1:7" s="13" customFormat="1" ht="75.75" customHeight="1">
      <c r="A120" s="95"/>
      <c r="B120" s="72" t="s">
        <v>3</v>
      </c>
      <c r="C120" s="76"/>
      <c r="D120" s="89">
        <f>SUM(D115:D119)</f>
        <v>14.964</v>
      </c>
      <c r="E120" s="89">
        <f t="shared" ref="E120:G120" si="16">SUM(E115:E119)</f>
        <v>15.753999999999998</v>
      </c>
      <c r="F120" s="89">
        <f t="shared" si="16"/>
        <v>86.974000000000004</v>
      </c>
      <c r="G120" s="89">
        <f t="shared" si="16"/>
        <v>537.78200000000004</v>
      </c>
    </row>
    <row r="121" spans="1:7" s="13" customFormat="1" ht="80.25" customHeight="1">
      <c r="A121" s="82"/>
      <c r="B121" s="72" t="s">
        <v>6</v>
      </c>
      <c r="C121" s="80"/>
      <c r="D121" s="81">
        <f>D100+D113+D104+D120</f>
        <v>47.195999999999998</v>
      </c>
      <c r="E121" s="81">
        <f t="shared" ref="E121:G121" si="17">E100+E113+E104+E120</f>
        <v>60.162999999999997</v>
      </c>
      <c r="F121" s="81">
        <f t="shared" si="17"/>
        <v>216.048</v>
      </c>
      <c r="G121" s="81">
        <f t="shared" si="17"/>
        <v>1624.5650000000001</v>
      </c>
    </row>
    <row r="122" spans="1:7" s="7" customFormat="1" ht="33">
      <c r="A122" s="133" t="s">
        <v>21</v>
      </c>
      <c r="B122" s="134"/>
      <c r="C122" s="134"/>
      <c r="D122" s="134"/>
      <c r="E122" s="134"/>
      <c r="F122" s="134"/>
      <c r="G122" s="134"/>
    </row>
    <row r="123" spans="1:7" s="7" customFormat="1" ht="47.25" customHeight="1">
      <c r="A123" s="159" t="s">
        <v>65</v>
      </c>
      <c r="B123" s="160"/>
      <c r="C123" s="160"/>
      <c r="D123" s="160"/>
      <c r="E123" s="160"/>
      <c r="F123" s="160"/>
      <c r="G123" s="160"/>
    </row>
    <row r="124" spans="1:7" s="7" customFormat="1" ht="67.5" customHeight="1">
      <c r="A124" s="82">
        <v>1</v>
      </c>
      <c r="B124" s="78" t="s">
        <v>86</v>
      </c>
      <c r="C124" s="76">
        <v>80</v>
      </c>
      <c r="D124" s="77">
        <f>16.71*C124/100</f>
        <v>13.368000000000002</v>
      </c>
      <c r="E124" s="77">
        <f>11.55*C124/100</f>
        <v>9.24</v>
      </c>
      <c r="F124" s="77">
        <f>20.1*C124/100</f>
        <v>16.079999999999998</v>
      </c>
      <c r="G124" s="77">
        <f>254.86*C124/100</f>
        <v>203.88800000000003</v>
      </c>
    </row>
    <row r="125" spans="1:7" s="7" customFormat="1" ht="30.75">
      <c r="A125" s="82">
        <v>2</v>
      </c>
      <c r="B125" s="88" t="s">
        <v>52</v>
      </c>
      <c r="C125" s="76">
        <v>20</v>
      </c>
      <c r="D125" s="77">
        <f>7.1*C125/100</f>
        <v>1.42</v>
      </c>
      <c r="E125" s="77">
        <f>5*C125/100</f>
        <v>1</v>
      </c>
      <c r="F125" s="77">
        <f>55.2*C125/100</f>
        <v>11.04</v>
      </c>
      <c r="G125" s="77">
        <f>295*C125/100</f>
        <v>59</v>
      </c>
    </row>
    <row r="126" spans="1:7" s="7" customFormat="1" ht="64.5" customHeight="1">
      <c r="A126" s="82">
        <v>3</v>
      </c>
      <c r="B126" s="97" t="s">
        <v>184</v>
      </c>
      <c r="C126" s="76">
        <v>200</v>
      </c>
      <c r="D126" s="79">
        <f>0.75*C126/100</f>
        <v>1.5</v>
      </c>
      <c r="E126" s="79">
        <f>0.8*C126/100</f>
        <v>1.6</v>
      </c>
      <c r="F126" s="79">
        <f>6.16*C126/100</f>
        <v>12.32</v>
      </c>
      <c r="G126" s="77">
        <f>34.95*C126/100</f>
        <v>69.900000000000006</v>
      </c>
    </row>
    <row r="127" spans="1:7" s="7" customFormat="1" ht="67.5" customHeight="1">
      <c r="A127" s="82">
        <v>4</v>
      </c>
      <c r="B127" s="75" t="s">
        <v>175</v>
      </c>
      <c r="C127" s="76">
        <v>10</v>
      </c>
      <c r="D127" s="79">
        <f>26*C127/100</f>
        <v>2.6</v>
      </c>
      <c r="E127" s="79">
        <f>26.1*C127/100</f>
        <v>2.61</v>
      </c>
      <c r="F127" s="79">
        <f>0*C127/100</f>
        <v>0</v>
      </c>
      <c r="G127" s="77">
        <f>344*C127/100</f>
        <v>34.4</v>
      </c>
    </row>
    <row r="128" spans="1:7" s="13" customFormat="1" ht="61.5" customHeight="1">
      <c r="A128" s="82">
        <v>5</v>
      </c>
      <c r="B128" s="85" t="s">
        <v>56</v>
      </c>
      <c r="C128" s="76">
        <v>20</v>
      </c>
      <c r="D128" s="77">
        <f>7.76*C128/100</f>
        <v>1.5519999999999998</v>
      </c>
      <c r="E128" s="77">
        <f>2.65*C128/100</f>
        <v>0.53</v>
      </c>
      <c r="F128" s="77">
        <f>53.25*C128/100</f>
        <v>10.65</v>
      </c>
      <c r="G128" s="77">
        <f>273*C128/100</f>
        <v>54.6</v>
      </c>
    </row>
    <row r="129" spans="1:7" s="13" customFormat="1" ht="67.5" customHeight="1">
      <c r="A129" s="82"/>
      <c r="B129" s="72" t="s">
        <v>3</v>
      </c>
      <c r="C129" s="80"/>
      <c r="D129" s="81">
        <f t="shared" ref="D129:F129" si="18">SUM(D124:D128)</f>
        <v>20.440000000000005</v>
      </c>
      <c r="E129" s="81">
        <f t="shared" si="18"/>
        <v>14.979999999999999</v>
      </c>
      <c r="F129" s="81">
        <f t="shared" si="18"/>
        <v>50.089999999999996</v>
      </c>
      <c r="G129" s="81">
        <f>SUM(G124:G128)</f>
        <v>421.78800000000001</v>
      </c>
    </row>
    <row r="130" spans="1:7" s="13" customFormat="1" ht="53.25" customHeight="1">
      <c r="A130" s="126" t="s">
        <v>64</v>
      </c>
      <c r="B130" s="127"/>
      <c r="C130" s="127"/>
      <c r="D130" s="127"/>
      <c r="E130" s="127"/>
      <c r="F130" s="127"/>
      <c r="G130" s="127"/>
    </row>
    <row r="131" spans="1:7" s="13" customFormat="1" ht="59.25" customHeight="1">
      <c r="A131" s="82">
        <v>1</v>
      </c>
      <c r="B131" s="75" t="s">
        <v>71</v>
      </c>
      <c r="C131" s="83">
        <v>300</v>
      </c>
      <c r="D131" s="84">
        <f>0*C131/100</f>
        <v>0</v>
      </c>
      <c r="E131" s="84">
        <v>0</v>
      </c>
      <c r="F131" s="84">
        <f>0*C131/100</f>
        <v>0</v>
      </c>
      <c r="G131" s="84">
        <f>0*C131/100</f>
        <v>0</v>
      </c>
    </row>
    <row r="132" spans="1:7" s="7" customFormat="1" ht="63" customHeight="1">
      <c r="A132" s="98">
        <v>2</v>
      </c>
      <c r="B132" s="75" t="s">
        <v>171</v>
      </c>
      <c r="C132" s="76">
        <v>80</v>
      </c>
      <c r="D132" s="84">
        <f>0.8*C132/100</f>
        <v>0.64</v>
      </c>
      <c r="E132" s="84">
        <f>0.4*C132/100</f>
        <v>0.32</v>
      </c>
      <c r="F132" s="84">
        <f>8.1*C132/100</f>
        <v>6.48</v>
      </c>
      <c r="G132" s="84">
        <f>47*C132/100</f>
        <v>37.6</v>
      </c>
    </row>
    <row r="133" spans="1:7" s="13" customFormat="1" ht="66.75" customHeight="1">
      <c r="A133" s="82"/>
      <c r="B133" s="72" t="s">
        <v>3</v>
      </c>
      <c r="C133" s="80"/>
      <c r="D133" s="81">
        <f t="shared" ref="D133:G133" si="19">SUM(D131:D132)</f>
        <v>0.64</v>
      </c>
      <c r="E133" s="81">
        <f t="shared" si="19"/>
        <v>0.32</v>
      </c>
      <c r="F133" s="81">
        <f t="shared" si="19"/>
        <v>6.48</v>
      </c>
      <c r="G133" s="81">
        <f t="shared" si="19"/>
        <v>37.6</v>
      </c>
    </row>
    <row r="134" spans="1:7" s="13" customFormat="1" ht="89.25" customHeight="1">
      <c r="A134" s="126" t="s">
        <v>4</v>
      </c>
      <c r="B134" s="127"/>
      <c r="C134" s="127"/>
      <c r="D134" s="127"/>
      <c r="E134" s="127"/>
      <c r="F134" s="127"/>
      <c r="G134" s="127"/>
    </row>
    <row r="135" spans="1:7" s="7" customFormat="1" ht="64.5" customHeight="1">
      <c r="A135" s="82">
        <v>1</v>
      </c>
      <c r="B135" s="78" t="s">
        <v>185</v>
      </c>
      <c r="C135" s="76">
        <v>60</v>
      </c>
      <c r="D135" s="77">
        <f>1.25*C135/100</f>
        <v>0.75</v>
      </c>
      <c r="E135" s="77">
        <f>5.48*C135/100</f>
        <v>3.2880000000000003</v>
      </c>
      <c r="F135" s="77">
        <f>8.5*C135/100</f>
        <v>5.0999999999999996</v>
      </c>
      <c r="G135" s="77">
        <f>88.64*C135/100</f>
        <v>53.183999999999997</v>
      </c>
    </row>
    <row r="136" spans="1:7" s="7" customFormat="1" ht="58.5" customHeight="1">
      <c r="A136" s="82">
        <v>2</v>
      </c>
      <c r="B136" s="78" t="s">
        <v>87</v>
      </c>
      <c r="C136" s="76">
        <v>200</v>
      </c>
      <c r="D136" s="77">
        <f>1.56*C136/100</f>
        <v>3.12</v>
      </c>
      <c r="E136" s="77">
        <f>3.64*C136/100</f>
        <v>7.28</v>
      </c>
      <c r="F136" s="77">
        <f>3.82*C136/100</f>
        <v>7.64</v>
      </c>
      <c r="G136" s="77">
        <f>54.86*C136/100</f>
        <v>109.72</v>
      </c>
    </row>
    <row r="137" spans="1:7" s="13" customFormat="1" ht="60" customHeight="1">
      <c r="A137" s="82">
        <v>3</v>
      </c>
      <c r="B137" s="88" t="s">
        <v>88</v>
      </c>
      <c r="C137" s="76">
        <v>70</v>
      </c>
      <c r="D137" s="77">
        <f>25.07*C137/100</f>
        <v>17.548999999999999</v>
      </c>
      <c r="E137" s="77">
        <f>16.32*C137/100</f>
        <v>11.424000000000001</v>
      </c>
      <c r="F137" s="77">
        <f>0.66*C137/100</f>
        <v>0.46200000000000002</v>
      </c>
      <c r="G137" s="77">
        <f>273.93*C137/100</f>
        <v>191.75100000000003</v>
      </c>
    </row>
    <row r="138" spans="1:7" s="13" customFormat="1" ht="63" customHeight="1">
      <c r="A138" s="82">
        <v>4</v>
      </c>
      <c r="B138" s="78" t="s">
        <v>85</v>
      </c>
      <c r="C138" s="76">
        <v>150</v>
      </c>
      <c r="D138" s="77">
        <f>2.25*C138/100</f>
        <v>3.375</v>
      </c>
      <c r="E138" s="77">
        <f>3.67*C138/100</f>
        <v>5.5049999999999999</v>
      </c>
      <c r="F138" s="77">
        <f>17.47*C138/100</f>
        <v>26.204999999999998</v>
      </c>
      <c r="G138" s="77">
        <f>126.64*C138/100</f>
        <v>189.96</v>
      </c>
    </row>
    <row r="139" spans="1:7" s="7" customFormat="1" ht="60.75" customHeight="1">
      <c r="A139" s="82">
        <v>5</v>
      </c>
      <c r="B139" s="75" t="s">
        <v>89</v>
      </c>
      <c r="C139" s="76">
        <v>200</v>
      </c>
      <c r="D139" s="77">
        <f>0.18*C139/100</f>
        <v>0.36</v>
      </c>
      <c r="E139" s="77">
        <f>0.04*C139/100</f>
        <v>0.08</v>
      </c>
      <c r="F139" s="77">
        <f>7.56*C139/100</f>
        <v>15.12</v>
      </c>
      <c r="G139" s="77">
        <f>22.57*C139/100</f>
        <v>45.14</v>
      </c>
    </row>
    <row r="140" spans="1:7" s="7" customFormat="1" ht="58.5" customHeight="1">
      <c r="A140" s="82">
        <v>6</v>
      </c>
      <c r="B140" s="75" t="s">
        <v>56</v>
      </c>
      <c r="C140" s="76">
        <v>20</v>
      </c>
      <c r="D140" s="77">
        <f>7.76*C140/100</f>
        <v>1.5519999999999998</v>
      </c>
      <c r="E140" s="77">
        <f>2.65*C140/100</f>
        <v>0.53</v>
      </c>
      <c r="F140" s="77">
        <f>53.25*C140/100</f>
        <v>10.65</v>
      </c>
      <c r="G140" s="77">
        <f>273*C140/100</f>
        <v>54.6</v>
      </c>
    </row>
    <row r="141" spans="1:7" s="7" customFormat="1" ht="63.75" customHeight="1">
      <c r="A141" s="82">
        <v>7</v>
      </c>
      <c r="B141" s="75" t="s">
        <v>55</v>
      </c>
      <c r="C141" s="76">
        <v>20</v>
      </c>
      <c r="D141" s="77">
        <f>5.86*C141/100</f>
        <v>1.1719999999999999</v>
      </c>
      <c r="E141" s="77">
        <f>0.94*C141/100</f>
        <v>0.18799999999999997</v>
      </c>
      <c r="F141" s="77">
        <f>44.4*C141/100</f>
        <v>8.8800000000000008</v>
      </c>
      <c r="G141" s="77">
        <f>189*C141/100</f>
        <v>37.799999999999997</v>
      </c>
    </row>
    <row r="142" spans="1:7" s="7" customFormat="1" ht="58.5" customHeight="1">
      <c r="A142" s="82"/>
      <c r="B142" s="72" t="s">
        <v>3</v>
      </c>
      <c r="C142" s="80"/>
      <c r="D142" s="89">
        <f t="shared" ref="D142:G142" si="20">SUM(D135:D137)+SUM(D138:D141)</f>
        <v>27.878</v>
      </c>
      <c r="E142" s="89">
        <f t="shared" si="20"/>
        <v>28.295000000000005</v>
      </c>
      <c r="F142" s="89">
        <f t="shared" si="20"/>
        <v>74.056999999999988</v>
      </c>
      <c r="G142" s="89">
        <f t="shared" si="20"/>
        <v>682.15500000000009</v>
      </c>
    </row>
    <row r="143" spans="1:7" s="7" customFormat="1" ht="80.25" customHeight="1">
      <c r="A143" s="126" t="s">
        <v>15</v>
      </c>
      <c r="B143" s="127"/>
      <c r="C143" s="127"/>
      <c r="D143" s="127"/>
      <c r="E143" s="127"/>
      <c r="F143" s="127"/>
      <c r="G143" s="127"/>
    </row>
    <row r="144" spans="1:7" s="7" customFormat="1" ht="72.75" customHeight="1">
      <c r="A144" s="82">
        <v>1</v>
      </c>
      <c r="B144" s="94" t="s">
        <v>90</v>
      </c>
      <c r="C144" s="76">
        <v>200</v>
      </c>
      <c r="D144" s="79">
        <f>7.03*C144/100</f>
        <v>14.06</v>
      </c>
      <c r="E144" s="79">
        <f>5.08*C144/100</f>
        <v>10.16</v>
      </c>
      <c r="F144" s="79">
        <f>34.37*C144/100</f>
        <v>68.739999999999995</v>
      </c>
      <c r="G144" s="79">
        <f>203.44*C144/100</f>
        <v>406.88</v>
      </c>
    </row>
    <row r="145" spans="1:8" s="7" customFormat="1" ht="76.5" customHeight="1">
      <c r="A145" s="82">
        <v>2</v>
      </c>
      <c r="B145" s="88" t="s">
        <v>186</v>
      </c>
      <c r="C145" s="76">
        <v>10</v>
      </c>
      <c r="D145" s="79">
        <f>0.5*C145/100</f>
        <v>0.05</v>
      </c>
      <c r="E145" s="79">
        <f>82.5*C145/100</f>
        <v>8.25</v>
      </c>
      <c r="F145" s="79">
        <f>0.8*C145/100</f>
        <v>0.08</v>
      </c>
      <c r="G145" s="79">
        <f>748*C145/100</f>
        <v>74.8</v>
      </c>
    </row>
    <row r="146" spans="1:8" s="7" customFormat="1" ht="68.25" customHeight="1">
      <c r="A146" s="82">
        <v>3</v>
      </c>
      <c r="B146" s="75" t="s">
        <v>143</v>
      </c>
      <c r="C146" s="76">
        <v>200</v>
      </c>
      <c r="D146" s="83">
        <f>2.8*C146/100</f>
        <v>5.6</v>
      </c>
      <c r="E146" s="84">
        <f>2.9*C146/100</f>
        <v>5.8</v>
      </c>
      <c r="F146" s="84">
        <f>10.5*C146/100</f>
        <v>21</v>
      </c>
      <c r="G146" s="84">
        <f>79.3*C146/100</f>
        <v>158.6</v>
      </c>
    </row>
    <row r="147" spans="1:8" s="7" customFormat="1" ht="72.75" customHeight="1">
      <c r="A147" s="82">
        <v>4</v>
      </c>
      <c r="B147" s="99" t="s">
        <v>70</v>
      </c>
      <c r="C147" s="76">
        <v>20</v>
      </c>
      <c r="D147" s="77">
        <f>20.5*C147/100</f>
        <v>4.0999999999999996</v>
      </c>
      <c r="E147" s="77">
        <f>11.5*C147/100</f>
        <v>2.2999999999999998</v>
      </c>
      <c r="F147" s="77">
        <f>66*C147/100</f>
        <v>13.2</v>
      </c>
      <c r="G147" s="77">
        <f>470*C147/100</f>
        <v>94</v>
      </c>
    </row>
    <row r="148" spans="1:8" s="7" customFormat="1" ht="87" customHeight="1">
      <c r="A148" s="82"/>
      <c r="B148" s="72" t="s">
        <v>3</v>
      </c>
      <c r="C148" s="80"/>
      <c r="D148" s="81">
        <f t="shared" ref="D148:G148" si="21">SUM(D144:D147)</f>
        <v>23.810000000000002</v>
      </c>
      <c r="E148" s="81">
        <f t="shared" si="21"/>
        <v>26.51</v>
      </c>
      <c r="F148" s="81">
        <f t="shared" si="21"/>
        <v>103.02</v>
      </c>
      <c r="G148" s="81">
        <f t="shared" si="21"/>
        <v>734.28</v>
      </c>
    </row>
    <row r="149" spans="1:8" s="7" customFormat="1" ht="54.75" customHeight="1">
      <c r="A149" s="82"/>
      <c r="B149" s="72" t="s">
        <v>6</v>
      </c>
      <c r="C149" s="80"/>
      <c r="D149" s="89">
        <f t="shared" ref="D149:G149" si="22">D129+D142+D148+D133</f>
        <v>72.768000000000015</v>
      </c>
      <c r="E149" s="89">
        <f t="shared" si="22"/>
        <v>70.105000000000004</v>
      </c>
      <c r="F149" s="89">
        <f t="shared" si="22"/>
        <v>233.64699999999996</v>
      </c>
      <c r="G149" s="89">
        <f t="shared" si="22"/>
        <v>1875.8230000000001</v>
      </c>
    </row>
    <row r="150" spans="1:8" s="7" customFormat="1" ht="114.75" customHeight="1">
      <c r="A150" s="82"/>
      <c r="B150" s="121" t="s">
        <v>66</v>
      </c>
      <c r="C150" s="124"/>
      <c r="D150" s="123">
        <f>(D36+D65+D93+D121+D149)/5</f>
        <v>62.2029</v>
      </c>
      <c r="E150" s="123">
        <f>(E36+E65+E93+E121+E149)/5</f>
        <v>75.609600000000015</v>
      </c>
      <c r="F150" s="123">
        <f>(F36+F65+F93+F121+F149)/5</f>
        <v>203.33319999999998</v>
      </c>
      <c r="G150" s="123">
        <f>(G36+G65+G93+G121+G149)/5</f>
        <v>1789.2464</v>
      </c>
    </row>
    <row r="151" spans="1:8" s="7" customFormat="1" ht="51" customHeight="1">
      <c r="A151" s="133" t="s">
        <v>91</v>
      </c>
      <c r="B151" s="134"/>
      <c r="C151" s="134"/>
      <c r="D151" s="134"/>
      <c r="E151" s="134"/>
      <c r="F151" s="134"/>
      <c r="G151" s="134"/>
    </row>
    <row r="152" spans="1:8" s="13" customFormat="1" ht="57" customHeight="1">
      <c r="A152" s="126" t="s">
        <v>65</v>
      </c>
      <c r="B152" s="127"/>
      <c r="C152" s="127"/>
      <c r="D152" s="127"/>
      <c r="E152" s="127"/>
      <c r="F152" s="127"/>
      <c r="G152" s="127"/>
    </row>
    <row r="153" spans="1:8" s="45" customFormat="1" ht="55.5" customHeight="1">
      <c r="A153" s="82">
        <v>1</v>
      </c>
      <c r="B153" s="88" t="s">
        <v>187</v>
      </c>
      <c r="C153" s="76">
        <v>200</v>
      </c>
      <c r="D153" s="77">
        <f>5.2*C153/100</f>
        <v>10.4</v>
      </c>
      <c r="E153" s="77">
        <f>5.27*C153/100</f>
        <v>10.54</v>
      </c>
      <c r="F153" s="77">
        <f>19.6*C153/100</f>
        <v>39.200000000000003</v>
      </c>
      <c r="G153" s="77">
        <f>147.16*C153/100</f>
        <v>294.32</v>
      </c>
    </row>
    <row r="154" spans="1:8" s="13" customFormat="1" ht="44.25" customHeight="1">
      <c r="A154" s="82">
        <v>2</v>
      </c>
      <c r="B154" s="78" t="s">
        <v>14</v>
      </c>
      <c r="C154" s="76">
        <v>200</v>
      </c>
      <c r="D154" s="79">
        <f>0*C154/100</f>
        <v>0</v>
      </c>
      <c r="E154" s="79">
        <f>0*C154/100</f>
        <v>0</v>
      </c>
      <c r="F154" s="79">
        <f>4.99*C154/100</f>
        <v>9.98</v>
      </c>
      <c r="G154" s="79">
        <f>19.95*C154/100</f>
        <v>39.9</v>
      </c>
    </row>
    <row r="155" spans="1:8" s="13" customFormat="1" ht="30.75">
      <c r="A155" s="82">
        <v>3</v>
      </c>
      <c r="B155" s="75" t="s">
        <v>211</v>
      </c>
      <c r="C155" s="76">
        <v>10</v>
      </c>
      <c r="D155" s="79">
        <f>0.5*C155/100</f>
        <v>0.05</v>
      </c>
      <c r="E155" s="79">
        <f>82.5*C155/100</f>
        <v>8.25</v>
      </c>
      <c r="F155" s="79">
        <f>0.8*C155/100</f>
        <v>0.08</v>
      </c>
      <c r="G155" s="79">
        <f>748*C155/100</f>
        <v>74.8</v>
      </c>
    </row>
    <row r="156" spans="1:8" s="13" customFormat="1" ht="45" customHeight="1">
      <c r="A156" s="82">
        <v>4</v>
      </c>
      <c r="B156" s="75" t="s">
        <v>53</v>
      </c>
      <c r="C156" s="76">
        <v>30</v>
      </c>
      <c r="D156" s="77">
        <f>8.8*C156/100</f>
        <v>2.64</v>
      </c>
      <c r="E156" s="77">
        <f>1.7*C156/100</f>
        <v>0.51</v>
      </c>
      <c r="F156" s="77">
        <f>29.4*C156/100</f>
        <v>8.82</v>
      </c>
      <c r="G156" s="77">
        <f>168*C156/100</f>
        <v>50.4</v>
      </c>
    </row>
    <row r="157" spans="1:8" s="46" customFormat="1" ht="64.5" customHeight="1">
      <c r="A157" s="95"/>
      <c r="B157" s="72" t="s">
        <v>3</v>
      </c>
      <c r="C157" s="80"/>
      <c r="D157" s="81">
        <f t="shared" ref="D157:G157" si="23">SUM(D153:D156)</f>
        <v>13.090000000000002</v>
      </c>
      <c r="E157" s="81">
        <f t="shared" si="23"/>
        <v>19.3</v>
      </c>
      <c r="F157" s="81">
        <f t="shared" si="23"/>
        <v>58.080000000000005</v>
      </c>
      <c r="G157" s="81">
        <f t="shared" si="23"/>
        <v>459.41999999999996</v>
      </c>
    </row>
    <row r="158" spans="1:8" s="43" customFormat="1" ht="64.5" customHeight="1">
      <c r="A158" s="126" t="s">
        <v>64</v>
      </c>
      <c r="B158" s="127"/>
      <c r="C158" s="127"/>
      <c r="D158" s="127"/>
      <c r="E158" s="127"/>
      <c r="F158" s="127"/>
      <c r="G158" s="127"/>
      <c r="H158" s="42"/>
    </row>
    <row r="159" spans="1:8" s="10" customFormat="1" ht="60" customHeight="1">
      <c r="A159" s="82">
        <v>1</v>
      </c>
      <c r="B159" s="75" t="s">
        <v>71</v>
      </c>
      <c r="C159" s="83">
        <v>300</v>
      </c>
      <c r="D159" s="84">
        <f>0*C159/100</f>
        <v>0</v>
      </c>
      <c r="E159" s="84">
        <v>0</v>
      </c>
      <c r="F159" s="84">
        <f>0*C159/100</f>
        <v>0</v>
      </c>
      <c r="G159" s="84">
        <f>0*C159/100</f>
        <v>0</v>
      </c>
    </row>
    <row r="160" spans="1:8" s="13" customFormat="1" ht="30.75">
      <c r="A160" s="82">
        <v>2</v>
      </c>
      <c r="B160" s="75" t="s">
        <v>171</v>
      </c>
      <c r="C160" s="76">
        <v>80</v>
      </c>
      <c r="D160" s="77">
        <f>0.4*C160/100</f>
        <v>0.32</v>
      </c>
      <c r="E160" s="77">
        <f>0.3*C160/100</f>
        <v>0.24</v>
      </c>
      <c r="F160" s="77">
        <f>10.3*C160/100</f>
        <v>8.24</v>
      </c>
      <c r="G160" s="77">
        <f>47*C160/100</f>
        <v>37.6</v>
      </c>
    </row>
    <row r="161" spans="1:7" s="7" customFormat="1" ht="79.5" customHeight="1">
      <c r="A161" s="82"/>
      <c r="B161" s="72" t="s">
        <v>3</v>
      </c>
      <c r="C161" s="80"/>
      <c r="D161" s="81">
        <f t="shared" ref="D161:G161" si="24">SUM(D159:D160)</f>
        <v>0.32</v>
      </c>
      <c r="E161" s="81">
        <f t="shared" si="24"/>
        <v>0.24</v>
      </c>
      <c r="F161" s="81">
        <f t="shared" si="24"/>
        <v>8.24</v>
      </c>
      <c r="G161" s="81">
        <f t="shared" si="24"/>
        <v>37.6</v>
      </c>
    </row>
    <row r="162" spans="1:7" s="7" customFormat="1" ht="84.75" customHeight="1">
      <c r="A162" s="126" t="s">
        <v>4</v>
      </c>
      <c r="B162" s="127"/>
      <c r="C162" s="127"/>
      <c r="D162" s="127"/>
      <c r="E162" s="127"/>
      <c r="F162" s="127"/>
      <c r="G162" s="127"/>
    </row>
    <row r="163" spans="1:7" s="13" customFormat="1" ht="75.75" customHeight="1">
      <c r="A163" s="82">
        <v>1</v>
      </c>
      <c r="B163" s="88" t="s">
        <v>152</v>
      </c>
      <c r="C163" s="76">
        <v>60</v>
      </c>
      <c r="D163" s="77">
        <f>1.07*C163/100</f>
        <v>0.64200000000000002</v>
      </c>
      <c r="E163" s="77">
        <f>15.15*C163/100</f>
        <v>9.09</v>
      </c>
      <c r="F163" s="77">
        <f>10.34*C163/100</f>
        <v>6.2039999999999997</v>
      </c>
      <c r="G163" s="77">
        <f>183.96*C163/100</f>
        <v>110.376</v>
      </c>
    </row>
    <row r="164" spans="1:7" s="13" customFormat="1" ht="62.25" customHeight="1">
      <c r="A164" s="82">
        <v>2</v>
      </c>
      <c r="B164" s="78" t="s">
        <v>188</v>
      </c>
      <c r="C164" s="76">
        <v>200</v>
      </c>
      <c r="D164" s="77">
        <f>2.97*C164/100</f>
        <v>5.94</v>
      </c>
      <c r="E164" s="77">
        <f>1.81*C164/100</f>
        <v>3.62</v>
      </c>
      <c r="F164" s="77">
        <f>6.64*C164/100</f>
        <v>13.28</v>
      </c>
      <c r="G164" s="77">
        <f>59.43*C164/100</f>
        <v>118.86</v>
      </c>
    </row>
    <row r="165" spans="1:7" s="13" customFormat="1" ht="78" customHeight="1">
      <c r="A165" s="82">
        <v>3</v>
      </c>
      <c r="B165" s="75" t="s">
        <v>48</v>
      </c>
      <c r="C165" s="76">
        <v>10</v>
      </c>
      <c r="D165" s="77">
        <f>11.1*C165/100</f>
        <v>1.1100000000000001</v>
      </c>
      <c r="E165" s="77">
        <f>3.79*C165/100</f>
        <v>0.379</v>
      </c>
      <c r="F165" s="77">
        <f>76.15*C165/100</f>
        <v>7.6150000000000002</v>
      </c>
      <c r="G165" s="77">
        <f>390.39*C165/100</f>
        <v>39.038999999999994</v>
      </c>
    </row>
    <row r="166" spans="1:7" s="13" customFormat="1" ht="60" customHeight="1">
      <c r="A166" s="82">
        <v>4</v>
      </c>
      <c r="B166" s="75" t="s">
        <v>189</v>
      </c>
      <c r="C166" s="76">
        <v>70</v>
      </c>
      <c r="D166" s="77">
        <f>24.44*C166/100</f>
        <v>17.108000000000001</v>
      </c>
      <c r="E166" s="77">
        <f>15.23*C166/100</f>
        <v>10.661000000000001</v>
      </c>
      <c r="F166" s="77">
        <f>0*C166/100</f>
        <v>0</v>
      </c>
      <c r="G166" s="77">
        <f>241.83*C166/100</f>
        <v>169.28100000000003</v>
      </c>
    </row>
    <row r="167" spans="1:7" s="14" customFormat="1" ht="59.25" customHeight="1">
      <c r="A167" s="82">
        <v>5</v>
      </c>
      <c r="B167" s="78" t="s">
        <v>51</v>
      </c>
      <c r="C167" s="76">
        <v>150</v>
      </c>
      <c r="D167" s="77">
        <f>1.73*C167/100</f>
        <v>2.5950000000000002</v>
      </c>
      <c r="E167" s="77">
        <f>4.63*C167/100</f>
        <v>6.9450000000000003</v>
      </c>
      <c r="F167" s="77">
        <f>7.49*C167/100</f>
        <v>11.234999999999999</v>
      </c>
      <c r="G167" s="77">
        <f>85.49*C167/100</f>
        <v>128.23500000000001</v>
      </c>
    </row>
    <row r="168" spans="1:7" s="7" customFormat="1" ht="66.75" customHeight="1">
      <c r="A168" s="82">
        <v>6</v>
      </c>
      <c r="B168" s="78" t="s">
        <v>49</v>
      </c>
      <c r="C168" s="76">
        <v>200</v>
      </c>
      <c r="D168" s="77">
        <f>0.62*C168/100</f>
        <v>1.24</v>
      </c>
      <c r="E168" s="77">
        <f>0.04*C168/100</f>
        <v>0.08</v>
      </c>
      <c r="F168" s="77">
        <f>12.06*C168/100</f>
        <v>24.12</v>
      </c>
      <c r="G168" s="77">
        <f>41.81*C168/100</f>
        <v>83.62</v>
      </c>
    </row>
    <row r="169" spans="1:7" s="13" customFormat="1" ht="62.25" customHeight="1">
      <c r="A169" s="82">
        <v>7</v>
      </c>
      <c r="B169" s="75" t="s">
        <v>56</v>
      </c>
      <c r="C169" s="76">
        <v>20</v>
      </c>
      <c r="D169" s="77">
        <f>7.76*C169/100</f>
        <v>1.5519999999999998</v>
      </c>
      <c r="E169" s="77">
        <f>2.65*C169/100</f>
        <v>0.53</v>
      </c>
      <c r="F169" s="77">
        <f>53.25*C169/100</f>
        <v>10.65</v>
      </c>
      <c r="G169" s="77">
        <f>273*C169/100</f>
        <v>54.6</v>
      </c>
    </row>
    <row r="170" spans="1:7" s="7" customFormat="1" ht="67.5" customHeight="1">
      <c r="A170" s="82">
        <v>8</v>
      </c>
      <c r="B170" s="75" t="s">
        <v>55</v>
      </c>
      <c r="C170" s="76">
        <v>20</v>
      </c>
      <c r="D170" s="77">
        <f>5.86*C170/100</f>
        <v>1.1719999999999999</v>
      </c>
      <c r="E170" s="77">
        <f>0.94*C170/100</f>
        <v>0.18799999999999997</v>
      </c>
      <c r="F170" s="77">
        <f>44.4*C170/100</f>
        <v>8.8800000000000008</v>
      </c>
      <c r="G170" s="77">
        <f>189*C170/100</f>
        <v>37.799999999999997</v>
      </c>
    </row>
    <row r="171" spans="1:7" s="7" customFormat="1" ht="83.25" customHeight="1">
      <c r="A171" s="82"/>
      <c r="B171" s="72" t="s">
        <v>3</v>
      </c>
      <c r="C171" s="80"/>
      <c r="D171" s="89">
        <f t="shared" ref="D171:G171" si="25">SUM(D163:D167)+SUM(D168:D170)</f>
        <v>31.358999999999998</v>
      </c>
      <c r="E171" s="89">
        <f t="shared" si="25"/>
        <v>31.492999999999999</v>
      </c>
      <c r="F171" s="89">
        <f t="shared" si="25"/>
        <v>81.984000000000009</v>
      </c>
      <c r="G171" s="89">
        <f t="shared" si="25"/>
        <v>741.81100000000004</v>
      </c>
    </row>
    <row r="172" spans="1:7" s="13" customFormat="1" ht="84" customHeight="1">
      <c r="A172" s="126" t="s">
        <v>15</v>
      </c>
      <c r="B172" s="127"/>
      <c r="C172" s="127"/>
      <c r="D172" s="127"/>
      <c r="E172" s="127"/>
      <c r="F172" s="127"/>
      <c r="G172" s="127"/>
    </row>
    <row r="173" spans="1:7" s="13" customFormat="1" ht="65.25" customHeight="1">
      <c r="A173" s="82">
        <v>1</v>
      </c>
      <c r="B173" s="75" t="s">
        <v>190</v>
      </c>
      <c r="C173" s="76">
        <v>70</v>
      </c>
      <c r="D173" s="77">
        <f>13.94*C173/100</f>
        <v>9.7579999999999991</v>
      </c>
      <c r="E173" s="77">
        <f>1.96*C173/100</f>
        <v>1.3719999999999999</v>
      </c>
      <c r="F173" s="77">
        <f>4.47*C173/100</f>
        <v>3.1289999999999996</v>
      </c>
      <c r="G173" s="77">
        <f>130.75*C173/100</f>
        <v>91.525000000000006</v>
      </c>
    </row>
    <row r="174" spans="1:7" s="13" customFormat="1" ht="77.25" customHeight="1">
      <c r="A174" s="82">
        <v>2</v>
      </c>
      <c r="B174" s="75" t="s">
        <v>92</v>
      </c>
      <c r="C174" s="76">
        <v>150</v>
      </c>
      <c r="D174" s="77">
        <f>2.74*C174/100</f>
        <v>4.1100000000000003</v>
      </c>
      <c r="E174" s="77">
        <f>4.7*C174/100</f>
        <v>7.05</v>
      </c>
      <c r="F174" s="77">
        <f>18.86*C174/100</f>
        <v>28.29</v>
      </c>
      <c r="G174" s="77">
        <f>145*C174/100</f>
        <v>217.5</v>
      </c>
    </row>
    <row r="175" spans="1:7" s="13" customFormat="1" ht="66" customHeight="1">
      <c r="A175" s="82">
        <v>3</v>
      </c>
      <c r="B175" s="97" t="s">
        <v>77</v>
      </c>
      <c r="C175" s="76">
        <v>200</v>
      </c>
      <c r="D175" s="79">
        <f>0.27*C175/100</f>
        <v>0.54</v>
      </c>
      <c r="E175" s="79">
        <f>0.11*C175/100</f>
        <v>0.22</v>
      </c>
      <c r="F175" s="79">
        <f>7.86*C175/100</f>
        <v>15.72</v>
      </c>
      <c r="G175" s="79">
        <f>37.88*C175/100</f>
        <v>75.760000000000005</v>
      </c>
    </row>
    <row r="176" spans="1:7" s="7" customFormat="1" ht="84.75" customHeight="1">
      <c r="A176" s="82">
        <v>4</v>
      </c>
      <c r="B176" s="75" t="s">
        <v>56</v>
      </c>
      <c r="C176" s="76">
        <v>20</v>
      </c>
      <c r="D176" s="77">
        <f>7.76*C176/100</f>
        <v>1.5519999999999998</v>
      </c>
      <c r="E176" s="77">
        <f>2.65*C176/100</f>
        <v>0.53</v>
      </c>
      <c r="F176" s="77">
        <f>53.25*C176/100</f>
        <v>10.65</v>
      </c>
      <c r="G176" s="77">
        <f>273*C176/100</f>
        <v>54.6</v>
      </c>
    </row>
    <row r="177" spans="1:8" s="7" customFormat="1" ht="72" customHeight="1">
      <c r="A177" s="82">
        <v>5</v>
      </c>
      <c r="B177" s="75" t="s">
        <v>54</v>
      </c>
      <c r="C177" s="76">
        <v>10</v>
      </c>
      <c r="D177" s="77">
        <v>7.0000000000000007E-2</v>
      </c>
      <c r="E177" s="77">
        <v>0</v>
      </c>
      <c r="F177" s="77">
        <v>13.79</v>
      </c>
      <c r="G177" s="77">
        <v>29.3</v>
      </c>
    </row>
    <row r="178" spans="1:8" s="7" customFormat="1" ht="69.75" customHeight="1">
      <c r="A178" s="82"/>
      <c r="B178" s="72" t="s">
        <v>3</v>
      </c>
      <c r="C178" s="80"/>
      <c r="D178" s="81">
        <f t="shared" ref="D178:G178" si="26">SUM(D173:D177)</f>
        <v>16.029999999999998</v>
      </c>
      <c r="E178" s="81">
        <f t="shared" si="26"/>
        <v>9.1720000000000006</v>
      </c>
      <c r="F178" s="81">
        <f t="shared" si="26"/>
        <v>71.578999999999994</v>
      </c>
      <c r="G178" s="81">
        <f t="shared" si="26"/>
        <v>468.685</v>
      </c>
    </row>
    <row r="179" spans="1:8" s="7" customFormat="1" ht="112.5" customHeight="1">
      <c r="A179" s="82"/>
      <c r="B179" s="72" t="s">
        <v>6</v>
      </c>
      <c r="C179" s="80"/>
      <c r="D179" s="89">
        <f>D157+D171+D161+D178</f>
        <v>60.798999999999992</v>
      </c>
      <c r="E179" s="89">
        <f t="shared" ref="E179:G179" si="27">E157+E171+E161+E178</f>
        <v>60.204999999999998</v>
      </c>
      <c r="F179" s="89">
        <f t="shared" si="27"/>
        <v>219.88300000000004</v>
      </c>
      <c r="G179" s="89">
        <f t="shared" si="27"/>
        <v>1707.5159999999998</v>
      </c>
    </row>
    <row r="180" spans="1:8" s="7" customFormat="1" ht="33">
      <c r="A180" s="133" t="s">
        <v>93</v>
      </c>
      <c r="B180" s="134"/>
      <c r="C180" s="134"/>
      <c r="D180" s="134"/>
      <c r="E180" s="134"/>
      <c r="F180" s="134"/>
      <c r="G180" s="134"/>
    </row>
    <row r="181" spans="1:8" s="7" customFormat="1" ht="30">
      <c r="A181" s="126" t="s">
        <v>65</v>
      </c>
      <c r="B181" s="127"/>
      <c r="C181" s="127"/>
      <c r="D181" s="127"/>
      <c r="E181" s="127"/>
      <c r="F181" s="127"/>
      <c r="G181" s="127"/>
    </row>
    <row r="182" spans="1:8" s="7" customFormat="1" ht="51.75" customHeight="1">
      <c r="A182" s="82">
        <v>1</v>
      </c>
      <c r="B182" s="78" t="s">
        <v>94</v>
      </c>
      <c r="C182" s="76">
        <v>80</v>
      </c>
      <c r="D182" s="77">
        <f>14.6*C182/100</f>
        <v>11.68</v>
      </c>
      <c r="E182" s="77">
        <f>9.53*C182/100</f>
        <v>7.6239999999999997</v>
      </c>
      <c r="F182" s="77">
        <f>12.76*C182/100</f>
        <v>10.208</v>
      </c>
      <c r="G182" s="77">
        <f>203.04*C182/100</f>
        <v>162.43199999999999</v>
      </c>
    </row>
    <row r="183" spans="1:8" s="7" customFormat="1" ht="63" customHeight="1">
      <c r="A183" s="82">
        <v>2</v>
      </c>
      <c r="B183" s="78" t="s">
        <v>95</v>
      </c>
      <c r="C183" s="76">
        <v>20</v>
      </c>
      <c r="D183" s="79">
        <f>2.69*C183/100</f>
        <v>0.53799999999999992</v>
      </c>
      <c r="E183" s="79">
        <f>5.75*C183/100</f>
        <v>1.1499999999999999</v>
      </c>
      <c r="F183" s="79">
        <f>16.3*C183/100</f>
        <v>3.26</v>
      </c>
      <c r="G183" s="77">
        <f>128.02*C183/100</f>
        <v>25.603999999999999</v>
      </c>
    </row>
    <row r="184" spans="1:8" s="7" customFormat="1" ht="66" customHeight="1">
      <c r="A184" s="82">
        <v>3</v>
      </c>
      <c r="B184" s="78" t="s">
        <v>96</v>
      </c>
      <c r="C184" s="76">
        <v>200</v>
      </c>
      <c r="D184" s="79">
        <f>1.56*C184/100</f>
        <v>3.12</v>
      </c>
      <c r="E184" s="79">
        <f>1.6*C184/100</f>
        <v>3.2</v>
      </c>
      <c r="F184" s="79">
        <f>9.36*C184/100</f>
        <v>18.72</v>
      </c>
      <c r="G184" s="79">
        <f>58.26*C184/100</f>
        <v>116.52</v>
      </c>
    </row>
    <row r="185" spans="1:8" s="7" customFormat="1" ht="51" customHeight="1">
      <c r="A185" s="82">
        <v>4</v>
      </c>
      <c r="B185" s="75" t="s">
        <v>191</v>
      </c>
      <c r="C185" s="76">
        <v>10</v>
      </c>
      <c r="D185" s="79">
        <f>26*C185/100</f>
        <v>2.6</v>
      </c>
      <c r="E185" s="79">
        <f>26.1*C185/100</f>
        <v>2.61</v>
      </c>
      <c r="F185" s="79">
        <f>0*C185/100</f>
        <v>0</v>
      </c>
      <c r="G185" s="77">
        <f>344*C185/100</f>
        <v>34.4</v>
      </c>
    </row>
    <row r="186" spans="1:8" s="7" customFormat="1" ht="64.5" customHeight="1">
      <c r="A186" s="82">
        <v>5</v>
      </c>
      <c r="B186" s="85" t="s">
        <v>56</v>
      </c>
      <c r="C186" s="76">
        <v>20</v>
      </c>
      <c r="D186" s="77">
        <f>7.76*C186/100</f>
        <v>1.5519999999999998</v>
      </c>
      <c r="E186" s="77">
        <f>2.65*C186/100</f>
        <v>0.53</v>
      </c>
      <c r="F186" s="77">
        <f>53.25*C186/100</f>
        <v>10.65</v>
      </c>
      <c r="G186" s="77">
        <f>273*C186/100</f>
        <v>54.6</v>
      </c>
      <c r="H186" s="19"/>
    </row>
    <row r="187" spans="1:8" s="7" customFormat="1" ht="78.75" customHeight="1">
      <c r="A187" s="82"/>
      <c r="B187" s="72" t="s">
        <v>3</v>
      </c>
      <c r="C187" s="80"/>
      <c r="D187" s="81">
        <f t="shared" ref="D187:G187" si="28">SUM(D182:D186)</f>
        <v>19.490000000000002</v>
      </c>
      <c r="E187" s="81">
        <f t="shared" si="28"/>
        <v>15.113999999999999</v>
      </c>
      <c r="F187" s="81">
        <f t="shared" si="28"/>
        <v>42.838000000000001</v>
      </c>
      <c r="G187" s="81">
        <f t="shared" si="28"/>
        <v>393.55599999999998</v>
      </c>
    </row>
    <row r="188" spans="1:8" s="7" customFormat="1" ht="72.75" customHeight="1">
      <c r="A188" s="126" t="s">
        <v>64</v>
      </c>
      <c r="B188" s="127"/>
      <c r="C188" s="127"/>
      <c r="D188" s="127"/>
      <c r="E188" s="127"/>
      <c r="F188" s="127"/>
      <c r="G188" s="127"/>
    </row>
    <row r="189" spans="1:8" s="13" customFormat="1" ht="57.75" customHeight="1">
      <c r="A189" s="83">
        <v>1</v>
      </c>
      <c r="B189" s="75" t="s">
        <v>71</v>
      </c>
      <c r="C189" s="83">
        <v>300</v>
      </c>
      <c r="D189" s="84">
        <f>0*C189/100</f>
        <v>0</v>
      </c>
      <c r="E189" s="84">
        <v>0</v>
      </c>
      <c r="F189" s="84">
        <f>0*C189/100</f>
        <v>0</v>
      </c>
      <c r="G189" s="84">
        <f>0*C189/100</f>
        <v>0</v>
      </c>
    </row>
    <row r="190" spans="1:8" s="13" customFormat="1" ht="59.25" customHeight="1">
      <c r="A190" s="82">
        <v>2</v>
      </c>
      <c r="B190" s="75" t="s">
        <v>171</v>
      </c>
      <c r="C190" s="76">
        <v>80</v>
      </c>
      <c r="D190" s="84">
        <f>1.5*C190/100</f>
        <v>1.2</v>
      </c>
      <c r="E190" s="84">
        <f>0.5*C190/100</f>
        <v>0.4</v>
      </c>
      <c r="F190" s="84">
        <f>21*C190/100</f>
        <v>16.8</v>
      </c>
      <c r="G190" s="84">
        <f>96*C190/100</f>
        <v>76.8</v>
      </c>
    </row>
    <row r="191" spans="1:8" s="13" customFormat="1" ht="79.5" customHeight="1">
      <c r="A191" s="82"/>
      <c r="B191" s="72" t="s">
        <v>3</v>
      </c>
      <c r="C191" s="80"/>
      <c r="D191" s="81">
        <f t="shared" ref="D191:G191" si="29">SUM(D189:D190)</f>
        <v>1.2</v>
      </c>
      <c r="E191" s="81">
        <f t="shared" si="29"/>
        <v>0.4</v>
      </c>
      <c r="F191" s="81">
        <f t="shared" si="29"/>
        <v>16.8</v>
      </c>
      <c r="G191" s="81">
        <f t="shared" si="29"/>
        <v>76.8</v>
      </c>
    </row>
    <row r="192" spans="1:8" s="10" customFormat="1" ht="60.75" customHeight="1">
      <c r="A192" s="126" t="s">
        <v>4</v>
      </c>
      <c r="B192" s="127"/>
      <c r="C192" s="127"/>
      <c r="D192" s="127"/>
      <c r="E192" s="127"/>
      <c r="F192" s="127"/>
      <c r="G192" s="127"/>
    </row>
    <row r="193" spans="1:7" s="7" customFormat="1" ht="80.25" customHeight="1">
      <c r="A193" s="82">
        <v>1</v>
      </c>
      <c r="B193" s="93" t="s">
        <v>50</v>
      </c>
      <c r="C193" s="76">
        <v>60</v>
      </c>
      <c r="D193" s="77">
        <f>0.86*C193/100</f>
        <v>0.51600000000000001</v>
      </c>
      <c r="E193" s="77">
        <f>15.12*C193/100</f>
        <v>9.0719999999999992</v>
      </c>
      <c r="F193" s="77">
        <f>2.85*C193/100</f>
        <v>1.71</v>
      </c>
      <c r="G193" s="77">
        <f>151.88*C193/100</f>
        <v>91.127999999999986</v>
      </c>
    </row>
    <row r="194" spans="1:7" s="7" customFormat="1" ht="70.5" customHeight="1">
      <c r="A194" s="82">
        <v>2</v>
      </c>
      <c r="B194" s="78" t="s">
        <v>192</v>
      </c>
      <c r="C194" s="76">
        <v>200</v>
      </c>
      <c r="D194" s="77">
        <f>1.83*C194/100</f>
        <v>3.66</v>
      </c>
      <c r="E194" s="77">
        <f>4.13*C194/100</f>
        <v>8.26</v>
      </c>
      <c r="F194" s="77">
        <f>3.38*C194/100</f>
        <v>6.76</v>
      </c>
      <c r="G194" s="77">
        <f>67.16*C194/100</f>
        <v>134.32</v>
      </c>
    </row>
    <row r="195" spans="1:7" s="14" customFormat="1" ht="58.5" customHeight="1">
      <c r="A195" s="82">
        <v>3</v>
      </c>
      <c r="B195" s="75" t="s">
        <v>165</v>
      </c>
      <c r="C195" s="76">
        <v>70</v>
      </c>
      <c r="D195" s="77">
        <f>16.51*C195/100</f>
        <v>11.557</v>
      </c>
      <c r="E195" s="77">
        <f>8.94*C195/100</f>
        <v>6.2579999999999991</v>
      </c>
      <c r="F195" s="77">
        <f>4.66*C195/100</f>
        <v>3.262</v>
      </c>
      <c r="G195" s="77">
        <f>168.63*C195/100</f>
        <v>118.041</v>
      </c>
    </row>
    <row r="196" spans="1:7" s="14" customFormat="1" ht="43.5" customHeight="1">
      <c r="A196" s="82">
        <v>4</v>
      </c>
      <c r="B196" s="75" t="s">
        <v>46</v>
      </c>
      <c r="C196" s="76">
        <v>150</v>
      </c>
      <c r="D196" s="77">
        <f>3.61*C196/100</f>
        <v>5.415</v>
      </c>
      <c r="E196" s="77">
        <f>4.47*C196/100</f>
        <v>6.7050000000000001</v>
      </c>
      <c r="F196" s="77">
        <f>19.28*C196/100</f>
        <v>28.92</v>
      </c>
      <c r="G196" s="77">
        <f>133.46*C196/100</f>
        <v>200.19</v>
      </c>
    </row>
    <row r="197" spans="1:7" s="7" customFormat="1" ht="79.5" customHeight="1">
      <c r="A197" s="82">
        <v>5</v>
      </c>
      <c r="B197" s="75" t="s">
        <v>98</v>
      </c>
      <c r="C197" s="76">
        <v>200</v>
      </c>
      <c r="D197" s="77">
        <f>0.28*C197/100</f>
        <v>0.56000000000000005</v>
      </c>
      <c r="E197" s="77">
        <f>0.06*C197/100</f>
        <v>0.12</v>
      </c>
      <c r="F197" s="77">
        <f>13.84*C197/100</f>
        <v>27.68</v>
      </c>
      <c r="G197" s="77">
        <f>47.69*C197/100</f>
        <v>95.38</v>
      </c>
    </row>
    <row r="198" spans="1:7" s="7" customFormat="1" ht="74.25" customHeight="1">
      <c r="A198" s="82">
        <v>6</v>
      </c>
      <c r="B198" s="75" t="s">
        <v>56</v>
      </c>
      <c r="C198" s="76">
        <v>20</v>
      </c>
      <c r="D198" s="77">
        <f>7.76*C198/100</f>
        <v>1.5519999999999998</v>
      </c>
      <c r="E198" s="77">
        <f>2.65*C198/100</f>
        <v>0.53</v>
      </c>
      <c r="F198" s="77">
        <f>53.25*C198/100</f>
        <v>10.65</v>
      </c>
      <c r="G198" s="77">
        <f>273*C198/100</f>
        <v>54.6</v>
      </c>
    </row>
    <row r="199" spans="1:7" s="13" customFormat="1" ht="72.75" customHeight="1">
      <c r="A199" s="82">
        <v>7</v>
      </c>
      <c r="B199" s="75" t="s">
        <v>55</v>
      </c>
      <c r="C199" s="76">
        <v>20</v>
      </c>
      <c r="D199" s="77">
        <f>5.86*C199/100</f>
        <v>1.1719999999999999</v>
      </c>
      <c r="E199" s="77">
        <f>0.94*C199/100</f>
        <v>0.18799999999999997</v>
      </c>
      <c r="F199" s="77">
        <f>44.4*C199/100</f>
        <v>8.8800000000000008</v>
      </c>
      <c r="G199" s="77">
        <f>189*C199/100</f>
        <v>37.799999999999997</v>
      </c>
    </row>
    <row r="200" spans="1:7" s="13" customFormat="1" ht="81" customHeight="1">
      <c r="A200" s="82"/>
      <c r="B200" s="72" t="s">
        <v>3</v>
      </c>
      <c r="C200" s="80"/>
      <c r="D200" s="89">
        <f t="shared" ref="D200:G200" si="30">SUM(D193:D199)</f>
        <v>24.431999999999999</v>
      </c>
      <c r="E200" s="89">
        <f t="shared" si="30"/>
        <v>31.133000000000003</v>
      </c>
      <c r="F200" s="89">
        <f t="shared" si="30"/>
        <v>87.861999999999995</v>
      </c>
      <c r="G200" s="89">
        <f t="shared" si="30"/>
        <v>731.45899999999995</v>
      </c>
    </row>
    <row r="201" spans="1:7" s="13" customFormat="1" ht="86.25" customHeight="1">
      <c r="A201" s="126" t="s">
        <v>15</v>
      </c>
      <c r="B201" s="127"/>
      <c r="C201" s="127"/>
      <c r="D201" s="127"/>
      <c r="E201" s="127"/>
      <c r="F201" s="127"/>
      <c r="G201" s="127"/>
    </row>
    <row r="202" spans="1:7" s="46" customFormat="1" ht="66" customHeight="1">
      <c r="A202" s="82">
        <v>1</v>
      </c>
      <c r="B202" s="78" t="s">
        <v>99</v>
      </c>
      <c r="C202" s="76">
        <v>200</v>
      </c>
      <c r="D202" s="77">
        <f>4.44*C202/100</f>
        <v>8.8800000000000008</v>
      </c>
      <c r="E202" s="77">
        <f>4.7*C202/100</f>
        <v>9.4</v>
      </c>
      <c r="F202" s="77">
        <f>20.61*C202/100</f>
        <v>41.22</v>
      </c>
      <c r="G202" s="77">
        <f>143.25*C202/100</f>
        <v>286.5</v>
      </c>
    </row>
    <row r="203" spans="1:7" s="13" customFormat="1" ht="86.25" customHeight="1">
      <c r="A203" s="82">
        <v>2</v>
      </c>
      <c r="B203" s="100" t="s">
        <v>240</v>
      </c>
      <c r="C203" s="76">
        <v>50</v>
      </c>
      <c r="D203" s="79">
        <f>8.8*C203/100</f>
        <v>4.4000000000000004</v>
      </c>
      <c r="E203" s="79">
        <f>7.38*C203/100</f>
        <v>3.69</v>
      </c>
      <c r="F203" s="79">
        <f>51.26*C203/100</f>
        <v>25.63</v>
      </c>
      <c r="G203" s="79">
        <f>307.3*C203/100</f>
        <v>153.65</v>
      </c>
    </row>
    <row r="204" spans="1:7" s="14" customFormat="1" ht="69.75" customHeight="1">
      <c r="A204" s="82">
        <v>3</v>
      </c>
      <c r="B204" s="75" t="s">
        <v>193</v>
      </c>
      <c r="C204" s="76">
        <v>200</v>
      </c>
      <c r="D204" s="79">
        <f>2.8*C204/100</f>
        <v>5.6</v>
      </c>
      <c r="E204" s="79">
        <f>4*C204/100</f>
        <v>8</v>
      </c>
      <c r="F204" s="79">
        <f>4.2*C204/100</f>
        <v>8.4</v>
      </c>
      <c r="G204" s="77">
        <f>64*C204/100</f>
        <v>128</v>
      </c>
    </row>
    <row r="205" spans="1:7" s="13" customFormat="1" ht="62.25" customHeight="1">
      <c r="A205" s="82">
        <v>4</v>
      </c>
      <c r="B205" s="75" t="s">
        <v>56</v>
      </c>
      <c r="C205" s="76">
        <v>20</v>
      </c>
      <c r="D205" s="77">
        <f>7.76*C205/100</f>
        <v>1.5519999999999998</v>
      </c>
      <c r="E205" s="77">
        <f>2.65*C205/100</f>
        <v>0.53</v>
      </c>
      <c r="F205" s="77">
        <f>53.25*C205/100</f>
        <v>10.65</v>
      </c>
      <c r="G205" s="77">
        <f>273*C205/100</f>
        <v>54.6</v>
      </c>
    </row>
    <row r="206" spans="1:7" s="46" customFormat="1" ht="95.25" customHeight="1">
      <c r="A206" s="95"/>
      <c r="B206" s="72" t="s">
        <v>3</v>
      </c>
      <c r="C206" s="76"/>
      <c r="D206" s="89">
        <f t="shared" ref="D206:G206" si="31">SUM(D202)+SUM(D203:D205)</f>
        <v>20.432000000000002</v>
      </c>
      <c r="E206" s="89">
        <f t="shared" si="31"/>
        <v>21.619999999999997</v>
      </c>
      <c r="F206" s="89">
        <f t="shared" si="31"/>
        <v>85.9</v>
      </c>
      <c r="G206" s="89">
        <f t="shared" si="31"/>
        <v>622.75</v>
      </c>
    </row>
    <row r="207" spans="1:7" s="46" customFormat="1" ht="117" customHeight="1">
      <c r="A207" s="82"/>
      <c r="B207" s="72" t="s">
        <v>6</v>
      </c>
      <c r="C207" s="80"/>
      <c r="D207" s="89">
        <f t="shared" ref="D207:G207" si="32">D187+D191+D200+D206</f>
        <v>65.554000000000002</v>
      </c>
      <c r="E207" s="89">
        <f t="shared" si="32"/>
        <v>68.266999999999996</v>
      </c>
      <c r="F207" s="89">
        <f t="shared" si="32"/>
        <v>233.4</v>
      </c>
      <c r="G207" s="89">
        <f t="shared" si="32"/>
        <v>1824.5650000000001</v>
      </c>
    </row>
    <row r="208" spans="1:7" s="7" customFormat="1" ht="73.5" customHeight="1">
      <c r="A208" s="133" t="s">
        <v>130</v>
      </c>
      <c r="B208" s="134"/>
      <c r="C208" s="134"/>
      <c r="D208" s="134"/>
      <c r="E208" s="134"/>
      <c r="F208" s="134"/>
      <c r="G208" s="134"/>
    </row>
    <row r="209" spans="1:7" s="13" customFormat="1" ht="40.5" customHeight="1">
      <c r="A209" s="126" t="s">
        <v>65</v>
      </c>
      <c r="B209" s="127"/>
      <c r="C209" s="127"/>
      <c r="D209" s="127"/>
      <c r="E209" s="127"/>
      <c r="F209" s="127"/>
      <c r="G209" s="127"/>
    </row>
    <row r="210" spans="1:7" s="45" customFormat="1" ht="60" customHeight="1">
      <c r="A210" s="82">
        <v>1</v>
      </c>
      <c r="B210" s="88" t="s">
        <v>194</v>
      </c>
      <c r="C210" s="76">
        <v>200</v>
      </c>
      <c r="D210" s="79">
        <f>4.2*C210/100</f>
        <v>8.4</v>
      </c>
      <c r="E210" s="79">
        <f>5.44*C210/100</f>
        <v>10.88</v>
      </c>
      <c r="F210" s="79">
        <f>17.67*C210/100</f>
        <v>35.340000000000003</v>
      </c>
      <c r="G210" s="79">
        <f>137.11*C210/100</f>
        <v>274.22000000000003</v>
      </c>
    </row>
    <row r="211" spans="1:7" s="13" customFormat="1" ht="74.25" customHeight="1">
      <c r="A211" s="82">
        <v>2</v>
      </c>
      <c r="B211" s="97" t="s">
        <v>115</v>
      </c>
      <c r="C211" s="76">
        <v>200</v>
      </c>
      <c r="D211" s="79">
        <f>0.75*C211/100</f>
        <v>1.5</v>
      </c>
      <c r="E211" s="79">
        <f>0.8*C211/100</f>
        <v>1.6</v>
      </c>
      <c r="F211" s="79">
        <f>6.16*C211/100</f>
        <v>12.32</v>
      </c>
      <c r="G211" s="77">
        <f>34.95*C211/100</f>
        <v>69.900000000000006</v>
      </c>
    </row>
    <row r="212" spans="1:7" s="7" customFormat="1" ht="69" customHeight="1">
      <c r="A212" s="82">
        <v>3</v>
      </c>
      <c r="B212" s="75" t="s">
        <v>195</v>
      </c>
      <c r="C212" s="76">
        <v>10</v>
      </c>
      <c r="D212" s="79">
        <f>0.5*C212/100</f>
        <v>0.05</v>
      </c>
      <c r="E212" s="79">
        <f>82.5*C212/100</f>
        <v>8.25</v>
      </c>
      <c r="F212" s="79">
        <f>0.8*C212/100</f>
        <v>0.08</v>
      </c>
      <c r="G212" s="79">
        <f>748*C212/100</f>
        <v>74.8</v>
      </c>
    </row>
    <row r="213" spans="1:7" s="7" customFormat="1" ht="48" customHeight="1">
      <c r="A213" s="82">
        <v>4</v>
      </c>
      <c r="B213" s="75" t="s">
        <v>56</v>
      </c>
      <c r="C213" s="76">
        <v>20</v>
      </c>
      <c r="D213" s="77">
        <f>7.76*C213/100</f>
        <v>1.5519999999999998</v>
      </c>
      <c r="E213" s="77">
        <f>2.65*C213/100</f>
        <v>0.53</v>
      </c>
      <c r="F213" s="77">
        <f>53.25*C213/100</f>
        <v>10.65</v>
      </c>
      <c r="G213" s="77">
        <f>273*C213/100</f>
        <v>54.6</v>
      </c>
    </row>
    <row r="214" spans="1:7" s="46" customFormat="1" ht="87.75" customHeight="1">
      <c r="A214" s="95"/>
      <c r="B214" s="72" t="s">
        <v>3</v>
      </c>
      <c r="C214" s="76"/>
      <c r="D214" s="81">
        <f t="array" ref="D214">SUM(D210:D213)</f>
        <v>11.502000000000001</v>
      </c>
      <c r="E214" s="81">
        <f t="array" ref="E214">SUM(E210:E213)</f>
        <v>21.26</v>
      </c>
      <c r="F214" s="81">
        <f t="array" ref="F214">SUM(F210:F213)</f>
        <v>58.39</v>
      </c>
      <c r="G214" s="81">
        <f>SUM(G210:G213)</f>
        <v>473.52000000000004</v>
      </c>
    </row>
    <row r="215" spans="1:7" s="7" customFormat="1" ht="93.75" customHeight="1">
      <c r="A215" s="126" t="s">
        <v>64</v>
      </c>
      <c r="B215" s="127"/>
      <c r="C215" s="127"/>
      <c r="D215" s="127"/>
      <c r="E215" s="127"/>
      <c r="F215" s="127"/>
      <c r="G215" s="127"/>
    </row>
    <row r="216" spans="1:7" s="7" customFormat="1" ht="63" customHeight="1">
      <c r="A216" s="82">
        <v>1</v>
      </c>
      <c r="B216" s="75" t="s">
        <v>71</v>
      </c>
      <c r="C216" s="83">
        <v>300</v>
      </c>
      <c r="D216" s="84">
        <f>0*C216/100</f>
        <v>0</v>
      </c>
      <c r="E216" s="84">
        <v>0</v>
      </c>
      <c r="F216" s="84">
        <f>0*C216/100</f>
        <v>0</v>
      </c>
      <c r="G216" s="84">
        <f>0*C216/100</f>
        <v>0</v>
      </c>
    </row>
    <row r="217" spans="1:7" s="7" customFormat="1" ht="68.25" customHeight="1">
      <c r="A217" s="82">
        <v>2</v>
      </c>
      <c r="B217" s="75" t="s">
        <v>167</v>
      </c>
      <c r="C217" s="76">
        <v>80</v>
      </c>
      <c r="D217" s="84">
        <f>0.4*C217/100</f>
        <v>0.32</v>
      </c>
      <c r="E217" s="84">
        <f>0.4*C217/100</f>
        <v>0.32</v>
      </c>
      <c r="F217" s="84">
        <f>9.8*C217/100</f>
        <v>7.84</v>
      </c>
      <c r="G217" s="84">
        <f>47*C217/100</f>
        <v>37.6</v>
      </c>
    </row>
    <row r="218" spans="1:7" s="7" customFormat="1" ht="90" customHeight="1">
      <c r="A218" s="82"/>
      <c r="B218" s="72" t="s">
        <v>3</v>
      </c>
      <c r="C218" s="76"/>
      <c r="D218" s="81">
        <f t="shared" ref="D218:G218" si="33">SUM(D216:D217)</f>
        <v>0.32</v>
      </c>
      <c r="E218" s="81">
        <f t="shared" si="33"/>
        <v>0.32</v>
      </c>
      <c r="F218" s="81">
        <f t="shared" si="33"/>
        <v>7.84</v>
      </c>
      <c r="G218" s="81">
        <f t="shared" si="33"/>
        <v>37.6</v>
      </c>
    </row>
    <row r="219" spans="1:7" s="7" customFormat="1" ht="57.75" customHeight="1">
      <c r="A219" s="126" t="s">
        <v>4</v>
      </c>
      <c r="B219" s="127"/>
      <c r="C219" s="127"/>
      <c r="D219" s="127"/>
      <c r="E219" s="127"/>
      <c r="F219" s="127"/>
      <c r="G219" s="127"/>
    </row>
    <row r="220" spans="1:7" s="7" customFormat="1" ht="75.75" customHeight="1">
      <c r="A220" s="82">
        <v>1</v>
      </c>
      <c r="B220" s="78" t="s">
        <v>155</v>
      </c>
      <c r="C220" s="76">
        <v>60</v>
      </c>
      <c r="D220" s="77">
        <f>1.22*C220/100</f>
        <v>0.73199999999999998</v>
      </c>
      <c r="E220" s="77">
        <f>7.09*C220/100</f>
        <v>4.2539999999999996</v>
      </c>
      <c r="F220" s="77">
        <f>6.49*C220/100</f>
        <v>3.8940000000000001</v>
      </c>
      <c r="G220" s="77">
        <f>95.83*C220/100</f>
        <v>57.498000000000005</v>
      </c>
    </row>
    <row r="221" spans="1:7" s="7" customFormat="1" ht="63" customHeight="1">
      <c r="A221" s="82">
        <v>2</v>
      </c>
      <c r="B221" s="75" t="s">
        <v>5</v>
      </c>
      <c r="C221" s="76">
        <v>200</v>
      </c>
      <c r="D221" s="77">
        <f>1.04*C221/100</f>
        <v>2.08</v>
      </c>
      <c r="E221" s="77">
        <f>2.08*C221/100</f>
        <v>4.16</v>
      </c>
      <c r="F221" s="77">
        <f>3.64*C221/100</f>
        <v>7.28</v>
      </c>
      <c r="G221" s="77">
        <f>41.36*C221/100</f>
        <v>82.72</v>
      </c>
    </row>
    <row r="222" spans="1:7" s="7" customFormat="1" ht="64.5" customHeight="1">
      <c r="A222" s="82">
        <v>3</v>
      </c>
      <c r="B222" s="75" t="s">
        <v>148</v>
      </c>
      <c r="C222" s="76">
        <v>70</v>
      </c>
      <c r="D222" s="77">
        <f>20*C222/100</f>
        <v>14</v>
      </c>
      <c r="E222" s="77">
        <f>5.07*C222/100</f>
        <v>3.5490000000000004</v>
      </c>
      <c r="F222" s="77">
        <f>4.14*C222/100</f>
        <v>2.8979999999999997</v>
      </c>
      <c r="G222" s="77">
        <f>217.9*C222/100</f>
        <v>152.53</v>
      </c>
    </row>
    <row r="223" spans="1:7" s="7" customFormat="1" ht="72.75" customHeight="1">
      <c r="A223" s="82">
        <v>4</v>
      </c>
      <c r="B223" s="88" t="s">
        <v>78</v>
      </c>
      <c r="C223" s="76">
        <v>150</v>
      </c>
      <c r="D223" s="77">
        <f>2.11*C223/100</f>
        <v>3.165</v>
      </c>
      <c r="E223" s="77">
        <f>2.8*C223/100</f>
        <v>4.2</v>
      </c>
      <c r="F223" s="77">
        <f>13.71*C223/100</f>
        <v>20.565000000000001</v>
      </c>
      <c r="G223" s="77">
        <f>102.58*C223/100</f>
        <v>153.87</v>
      </c>
    </row>
    <row r="224" spans="1:7" s="46" customFormat="1" ht="68.25" customHeight="1">
      <c r="A224" s="82">
        <v>5</v>
      </c>
      <c r="B224" s="78" t="s">
        <v>183</v>
      </c>
      <c r="C224" s="76">
        <v>200</v>
      </c>
      <c r="D224" s="77">
        <f>0.28*C224/100</f>
        <v>0.56000000000000005</v>
      </c>
      <c r="E224" s="77">
        <f>0.08*C224/100</f>
        <v>0.16</v>
      </c>
      <c r="F224" s="77">
        <f>12.84*C224/100</f>
        <v>25.68</v>
      </c>
      <c r="G224" s="77">
        <f>44.69*C224/100</f>
        <v>89.38</v>
      </c>
    </row>
    <row r="225" spans="1:7" s="13" customFormat="1" ht="57.75" customHeight="1">
      <c r="A225" s="82">
        <v>6</v>
      </c>
      <c r="B225" s="75" t="s">
        <v>56</v>
      </c>
      <c r="C225" s="76">
        <v>20</v>
      </c>
      <c r="D225" s="77">
        <f>7.76*C225/100</f>
        <v>1.5519999999999998</v>
      </c>
      <c r="E225" s="77">
        <f>2.65*C225/100</f>
        <v>0.53</v>
      </c>
      <c r="F225" s="77">
        <f>53.25*C225/100</f>
        <v>10.65</v>
      </c>
      <c r="G225" s="77">
        <f>273*C225/100</f>
        <v>54.6</v>
      </c>
    </row>
    <row r="226" spans="1:7" s="13" customFormat="1" ht="68.25" customHeight="1">
      <c r="A226" s="82">
        <v>7</v>
      </c>
      <c r="B226" s="75" t="s">
        <v>55</v>
      </c>
      <c r="C226" s="76">
        <v>20</v>
      </c>
      <c r="D226" s="77">
        <f>5.86*C226/100</f>
        <v>1.1719999999999999</v>
      </c>
      <c r="E226" s="77">
        <f>0.94*C226/100</f>
        <v>0.18799999999999997</v>
      </c>
      <c r="F226" s="77">
        <f>44.4*C226/100</f>
        <v>8.8800000000000008</v>
      </c>
      <c r="G226" s="77">
        <f>189*C226/100</f>
        <v>37.799999999999997</v>
      </c>
    </row>
    <row r="227" spans="1:7" s="11" customFormat="1" ht="87.75" customHeight="1">
      <c r="A227" s="82"/>
      <c r="B227" s="72" t="s">
        <v>3</v>
      </c>
      <c r="C227" s="80"/>
      <c r="D227" s="89">
        <f>SUM(D220:D226)</f>
        <v>23.260999999999999</v>
      </c>
      <c r="E227" s="89">
        <f t="shared" ref="E227:G227" si="34">SUM(E220:E226)</f>
        <v>17.041</v>
      </c>
      <c r="F227" s="89">
        <f t="shared" si="34"/>
        <v>79.846999999999994</v>
      </c>
      <c r="G227" s="89">
        <f t="shared" si="34"/>
        <v>628.39800000000002</v>
      </c>
    </row>
    <row r="228" spans="1:7" s="13" customFormat="1" ht="90" customHeight="1">
      <c r="A228" s="126" t="s">
        <v>15</v>
      </c>
      <c r="B228" s="127"/>
      <c r="C228" s="127"/>
      <c r="D228" s="127"/>
      <c r="E228" s="127"/>
      <c r="F228" s="127"/>
      <c r="G228" s="127"/>
    </row>
    <row r="229" spans="1:7" s="13" customFormat="1" ht="63.75" customHeight="1">
      <c r="A229" s="82">
        <v>1</v>
      </c>
      <c r="B229" s="75" t="s">
        <v>196</v>
      </c>
      <c r="C229" s="76">
        <v>70</v>
      </c>
      <c r="D229" s="77">
        <f>11.7*C229/100</f>
        <v>8.19</v>
      </c>
      <c r="E229" s="77">
        <f>12.82*C229/100</f>
        <v>8.9740000000000002</v>
      </c>
      <c r="F229" s="77">
        <f>9.31*C229/100</f>
        <v>6.5170000000000003</v>
      </c>
      <c r="G229" s="77">
        <f>204.08*C229/100</f>
        <v>142.85599999999999</v>
      </c>
    </row>
    <row r="230" spans="1:7" s="7" customFormat="1" ht="72.75" customHeight="1">
      <c r="A230" s="82">
        <v>2</v>
      </c>
      <c r="B230" s="75" t="s">
        <v>45</v>
      </c>
      <c r="C230" s="76">
        <v>150</v>
      </c>
      <c r="D230" s="77">
        <f>5.58*C230/100</f>
        <v>8.3699999999999992</v>
      </c>
      <c r="E230" s="77">
        <f>5.61*C230/100</f>
        <v>8.4149999999999991</v>
      </c>
      <c r="F230" s="77">
        <f>24.71*C230/100</f>
        <v>37.064999999999998</v>
      </c>
      <c r="G230" s="77">
        <f>172.48*C230/100</f>
        <v>258.72000000000003</v>
      </c>
    </row>
    <row r="231" spans="1:7" s="46" customFormat="1" ht="68.25" customHeight="1">
      <c r="A231" s="82">
        <v>3</v>
      </c>
      <c r="B231" s="75" t="s">
        <v>177</v>
      </c>
      <c r="C231" s="76">
        <v>200</v>
      </c>
      <c r="D231" s="79">
        <f>0.1*C231/100</f>
        <v>0.2</v>
      </c>
      <c r="E231" s="79">
        <f>0.04*C231/100</f>
        <v>0.08</v>
      </c>
      <c r="F231" s="79">
        <f>9.15*C231/100</f>
        <v>18.3</v>
      </c>
      <c r="G231" s="79">
        <f>28.46*C231/100</f>
        <v>56.92</v>
      </c>
    </row>
    <row r="232" spans="1:7" s="40" customFormat="1" ht="69.75" customHeight="1">
      <c r="A232" s="82">
        <v>4</v>
      </c>
      <c r="B232" s="75" t="s">
        <v>56</v>
      </c>
      <c r="C232" s="76">
        <v>20</v>
      </c>
      <c r="D232" s="77">
        <f>7.76*C232/100</f>
        <v>1.5519999999999998</v>
      </c>
      <c r="E232" s="77">
        <f>2.65*C232/100</f>
        <v>0.53</v>
      </c>
      <c r="F232" s="77">
        <f>53.25*C232/100</f>
        <v>10.65</v>
      </c>
      <c r="G232" s="77">
        <f>273*C232/100</f>
        <v>54.6</v>
      </c>
    </row>
    <row r="233" spans="1:7" s="10" customFormat="1" ht="77.25" customHeight="1">
      <c r="A233" s="82"/>
      <c r="B233" s="72" t="s">
        <v>3</v>
      </c>
      <c r="C233" s="76"/>
      <c r="D233" s="89">
        <f t="shared" ref="D233:G233" si="35">SUM(D229:D232)</f>
        <v>18.311999999999998</v>
      </c>
      <c r="E233" s="89">
        <f t="shared" si="35"/>
        <v>17.998999999999999</v>
      </c>
      <c r="F233" s="89">
        <f t="shared" si="35"/>
        <v>72.532000000000011</v>
      </c>
      <c r="G233" s="89">
        <f t="shared" si="35"/>
        <v>513.096</v>
      </c>
    </row>
    <row r="234" spans="1:7" s="7" customFormat="1" ht="101.25" customHeight="1">
      <c r="A234" s="82"/>
      <c r="B234" s="72" t="s">
        <v>6</v>
      </c>
      <c r="C234" s="76"/>
      <c r="D234" s="89">
        <f>D214+D227+D218+D233</f>
        <v>53.394999999999996</v>
      </c>
      <c r="E234" s="89">
        <f t="shared" ref="E234:G234" si="36">E214+E227+E218+E233</f>
        <v>56.620000000000005</v>
      </c>
      <c r="F234" s="89">
        <f t="shared" si="36"/>
        <v>218.60900000000001</v>
      </c>
      <c r="G234" s="89">
        <f t="shared" si="36"/>
        <v>1652.614</v>
      </c>
    </row>
    <row r="235" spans="1:7" s="7" customFormat="1" ht="61.5" customHeight="1">
      <c r="A235" s="133" t="s">
        <v>131</v>
      </c>
      <c r="B235" s="134"/>
      <c r="C235" s="134"/>
      <c r="D235" s="134"/>
      <c r="E235" s="134"/>
      <c r="F235" s="134"/>
      <c r="G235" s="134"/>
    </row>
    <row r="236" spans="1:7" s="13" customFormat="1" ht="30">
      <c r="A236" s="126" t="s">
        <v>65</v>
      </c>
      <c r="B236" s="127"/>
      <c r="C236" s="127"/>
      <c r="D236" s="127"/>
      <c r="E236" s="127"/>
      <c r="F236" s="127"/>
      <c r="G236" s="127"/>
    </row>
    <row r="237" spans="1:7" s="45" customFormat="1" ht="58.5" customHeight="1">
      <c r="A237" s="82">
        <v>1</v>
      </c>
      <c r="B237" s="88" t="s">
        <v>101</v>
      </c>
      <c r="C237" s="76">
        <v>200</v>
      </c>
      <c r="D237" s="77">
        <f>4.61*C237/100</f>
        <v>9.2200000000000006</v>
      </c>
      <c r="E237" s="77">
        <f>5.64*C237/100</f>
        <v>11.28</v>
      </c>
      <c r="F237" s="77">
        <f>19.72*C237/100</f>
        <v>39.44</v>
      </c>
      <c r="G237" s="77">
        <f>149*C237/100</f>
        <v>298</v>
      </c>
    </row>
    <row r="238" spans="1:7" s="13" customFormat="1" ht="55.5" customHeight="1">
      <c r="A238" s="82">
        <v>2</v>
      </c>
      <c r="B238" s="78" t="s">
        <v>14</v>
      </c>
      <c r="C238" s="76">
        <v>200</v>
      </c>
      <c r="D238" s="79">
        <f>0*C238/100</f>
        <v>0</v>
      </c>
      <c r="E238" s="79">
        <f>0*C238/100</f>
        <v>0</v>
      </c>
      <c r="F238" s="79">
        <f>4.99*C238/100</f>
        <v>9.98</v>
      </c>
      <c r="G238" s="79">
        <f>19.95*C238/100</f>
        <v>39.9</v>
      </c>
    </row>
    <row r="239" spans="1:7" s="13" customFormat="1" ht="63" customHeight="1">
      <c r="A239" s="82">
        <v>3</v>
      </c>
      <c r="B239" s="78" t="s">
        <v>74</v>
      </c>
      <c r="C239" s="76">
        <v>7</v>
      </c>
      <c r="D239" s="79">
        <f>0.9*C239/100</f>
        <v>6.3E-2</v>
      </c>
      <c r="E239" s="79">
        <f>0.1*C239/100</f>
        <v>7.000000000000001E-3</v>
      </c>
      <c r="F239" s="79">
        <f>3*C239/100</f>
        <v>0.21</v>
      </c>
      <c r="G239" s="79">
        <f>34*C239/100</f>
        <v>2.38</v>
      </c>
    </row>
    <row r="240" spans="1:7" s="13" customFormat="1" ht="91.5" customHeight="1">
      <c r="A240" s="82">
        <v>4</v>
      </c>
      <c r="B240" s="75" t="s">
        <v>191</v>
      </c>
      <c r="C240" s="76">
        <v>10</v>
      </c>
      <c r="D240" s="79">
        <f>26*C240/100</f>
        <v>2.6</v>
      </c>
      <c r="E240" s="79">
        <f>26.1*C240/100</f>
        <v>2.61</v>
      </c>
      <c r="F240" s="79">
        <f>0*C240/100</f>
        <v>0</v>
      </c>
      <c r="G240" s="77">
        <f>344*C240/100</f>
        <v>34.4</v>
      </c>
    </row>
    <row r="241" spans="1:7" s="13" customFormat="1" ht="69.75" customHeight="1">
      <c r="A241" s="82">
        <v>5</v>
      </c>
      <c r="B241" s="85" t="s">
        <v>56</v>
      </c>
      <c r="C241" s="76">
        <v>20</v>
      </c>
      <c r="D241" s="77">
        <f>7.76*C241/100</f>
        <v>1.5519999999999998</v>
      </c>
      <c r="E241" s="77">
        <f>2.65*C241/100</f>
        <v>0.53</v>
      </c>
      <c r="F241" s="77">
        <f>53.25*C241/100</f>
        <v>10.65</v>
      </c>
      <c r="G241" s="77">
        <f>273*C241/100</f>
        <v>54.6</v>
      </c>
    </row>
    <row r="242" spans="1:7" s="46" customFormat="1" ht="98.25" customHeight="1">
      <c r="A242" s="95"/>
      <c r="B242" s="72" t="s">
        <v>3</v>
      </c>
      <c r="C242" s="80"/>
      <c r="D242" s="81">
        <f t="array" ref="D242">SUM(D237:D241)</f>
        <v>13.435</v>
      </c>
      <c r="E242" s="81">
        <f t="array" ref="E242">SUM(E237:E241)</f>
        <v>14.426999999999998</v>
      </c>
      <c r="F242" s="81">
        <f t="array" ref="F242">SUM(F237:F241)</f>
        <v>60.28</v>
      </c>
      <c r="G242" s="81">
        <f t="array" ref="G242">SUM(G237:G241)</f>
        <v>429.28</v>
      </c>
    </row>
    <row r="243" spans="1:7" s="7" customFormat="1" ht="48.75" customHeight="1">
      <c r="A243" s="126" t="s">
        <v>64</v>
      </c>
      <c r="B243" s="127"/>
      <c r="C243" s="127"/>
      <c r="D243" s="127"/>
      <c r="E243" s="127"/>
      <c r="F243" s="127"/>
      <c r="G243" s="127"/>
    </row>
    <row r="244" spans="1:7" s="7" customFormat="1" ht="42" customHeight="1">
      <c r="A244" s="82">
        <v>1</v>
      </c>
      <c r="B244" s="75" t="s">
        <v>71</v>
      </c>
      <c r="C244" s="83">
        <v>300</v>
      </c>
      <c r="D244" s="84">
        <f>0*C244/100</f>
        <v>0</v>
      </c>
      <c r="E244" s="84">
        <v>0</v>
      </c>
      <c r="F244" s="84">
        <f>0*C244/100</f>
        <v>0</v>
      </c>
      <c r="G244" s="84">
        <f>0*C244/100</f>
        <v>0</v>
      </c>
    </row>
    <row r="245" spans="1:7" s="13" customFormat="1" ht="42.75" customHeight="1">
      <c r="A245" s="82">
        <v>2</v>
      </c>
      <c r="B245" s="75" t="s">
        <v>171</v>
      </c>
      <c r="C245" s="76">
        <v>80</v>
      </c>
      <c r="D245" s="84">
        <f>0.9*C245/100</f>
        <v>0.72</v>
      </c>
      <c r="E245" s="84">
        <f>0.2*C245/100</f>
        <v>0.16</v>
      </c>
      <c r="F245" s="84">
        <f>8.1*C245/100</f>
        <v>6.48</v>
      </c>
      <c r="G245" s="84">
        <f>43*C245/100</f>
        <v>34.4</v>
      </c>
    </row>
    <row r="246" spans="1:7" s="13" customFormat="1" ht="53.25" customHeight="1">
      <c r="A246" s="82"/>
      <c r="B246" s="72" t="s">
        <v>3</v>
      </c>
      <c r="C246" s="80"/>
      <c r="D246" s="81">
        <f t="shared" ref="D246:G246" si="37">SUM(D244:D245)</f>
        <v>0.72</v>
      </c>
      <c r="E246" s="81">
        <f t="shared" si="37"/>
        <v>0.16</v>
      </c>
      <c r="F246" s="81">
        <f t="shared" si="37"/>
        <v>6.48</v>
      </c>
      <c r="G246" s="81">
        <f t="shared" si="37"/>
        <v>34.4</v>
      </c>
    </row>
    <row r="247" spans="1:7" s="7" customFormat="1" ht="85.5" customHeight="1">
      <c r="A247" s="126" t="s">
        <v>4</v>
      </c>
      <c r="B247" s="127"/>
      <c r="C247" s="127"/>
      <c r="D247" s="127"/>
      <c r="E247" s="127"/>
      <c r="F247" s="127"/>
      <c r="G247" s="127"/>
    </row>
    <row r="248" spans="1:7" s="7" customFormat="1" ht="63" customHeight="1">
      <c r="A248" s="82">
        <v>1</v>
      </c>
      <c r="B248" s="78" t="s">
        <v>16</v>
      </c>
      <c r="C248" s="96">
        <v>60</v>
      </c>
      <c r="D248" s="77">
        <f>1.57*C248/100</f>
        <v>0.94200000000000006</v>
      </c>
      <c r="E248" s="77">
        <f>10.18*C248/100</f>
        <v>6.1079999999999997</v>
      </c>
      <c r="F248" s="77">
        <f>6.7*C248/100</f>
        <v>4.0199999999999996</v>
      </c>
      <c r="G248" s="77">
        <f>129.231*C248/100</f>
        <v>77.538600000000002</v>
      </c>
    </row>
    <row r="249" spans="1:7" s="7" customFormat="1" ht="58.5" customHeight="1">
      <c r="A249" s="82">
        <v>2</v>
      </c>
      <c r="B249" s="78" t="s">
        <v>146</v>
      </c>
      <c r="C249" s="76">
        <v>200</v>
      </c>
      <c r="D249" s="77">
        <f>3.34*C249/100</f>
        <v>6.68</v>
      </c>
      <c r="E249" s="77">
        <f>5.17*C249/100</f>
        <v>10.34</v>
      </c>
      <c r="F249" s="77">
        <f>8.64*C249/100</f>
        <v>17.28</v>
      </c>
      <c r="G249" s="77">
        <f>95.58*C249/100</f>
        <v>191.16</v>
      </c>
    </row>
    <row r="250" spans="1:7" s="7" customFormat="1" ht="66.75" customHeight="1">
      <c r="A250" s="82">
        <v>3</v>
      </c>
      <c r="B250" s="88" t="s">
        <v>102</v>
      </c>
      <c r="C250" s="76">
        <v>150</v>
      </c>
      <c r="D250" s="77">
        <f>7.5*C250/100</f>
        <v>11.25</v>
      </c>
      <c r="E250" s="77">
        <f>7.5*C250/100</f>
        <v>11.25</v>
      </c>
      <c r="F250" s="77">
        <f>6.62*C250/100</f>
        <v>9.93</v>
      </c>
      <c r="G250" s="77">
        <f>112.86*C250/100</f>
        <v>169.29</v>
      </c>
    </row>
    <row r="251" spans="1:7" s="7" customFormat="1" ht="67.5" customHeight="1">
      <c r="A251" s="82">
        <v>4</v>
      </c>
      <c r="B251" s="78" t="s">
        <v>197</v>
      </c>
      <c r="C251" s="76">
        <v>200</v>
      </c>
      <c r="D251" s="77">
        <f>0.11*C251/100</f>
        <v>0.22</v>
      </c>
      <c r="E251" s="77">
        <f>0.04*C251/100</f>
        <v>0.08</v>
      </c>
      <c r="F251" s="77">
        <f>8.74*C251/100</f>
        <v>17.48</v>
      </c>
      <c r="G251" s="77">
        <f>26.78*C251/100</f>
        <v>53.56</v>
      </c>
    </row>
    <row r="252" spans="1:7" s="7" customFormat="1" ht="87" customHeight="1">
      <c r="A252" s="82">
        <v>5</v>
      </c>
      <c r="B252" s="75" t="s">
        <v>56</v>
      </c>
      <c r="C252" s="76">
        <v>20</v>
      </c>
      <c r="D252" s="77">
        <f>7.76*C252/100</f>
        <v>1.5519999999999998</v>
      </c>
      <c r="E252" s="77">
        <f>2.65*C252/100</f>
        <v>0.53</v>
      </c>
      <c r="F252" s="77">
        <f>53.25*C252/100</f>
        <v>10.65</v>
      </c>
      <c r="G252" s="77">
        <f>273*C252/100</f>
        <v>54.6</v>
      </c>
    </row>
    <row r="253" spans="1:7" s="7" customFormat="1" ht="72.75" customHeight="1">
      <c r="A253" s="82">
        <v>6</v>
      </c>
      <c r="B253" s="75" t="s">
        <v>55</v>
      </c>
      <c r="C253" s="76">
        <v>20</v>
      </c>
      <c r="D253" s="77">
        <f>5.86*C253/100</f>
        <v>1.1719999999999999</v>
      </c>
      <c r="E253" s="77">
        <f>0.94*C253/100</f>
        <v>0.18799999999999997</v>
      </c>
      <c r="F253" s="77">
        <f>44.4*C253/100</f>
        <v>8.8800000000000008</v>
      </c>
      <c r="G253" s="77">
        <f>189*C253/100</f>
        <v>37.799999999999997</v>
      </c>
    </row>
    <row r="254" spans="1:7" s="7" customFormat="1" ht="87" customHeight="1">
      <c r="A254" s="82"/>
      <c r="B254" s="72" t="s">
        <v>3</v>
      </c>
      <c r="C254" s="80"/>
      <c r="D254" s="89">
        <f t="shared" ref="D254:G254" si="38">SUM(D248:D253)</f>
        <v>21.815999999999999</v>
      </c>
      <c r="E254" s="89">
        <f t="shared" si="38"/>
        <v>28.495999999999999</v>
      </c>
      <c r="F254" s="89">
        <f t="shared" si="38"/>
        <v>68.239999999999995</v>
      </c>
      <c r="G254" s="89">
        <f t="shared" si="38"/>
        <v>583.94859999999994</v>
      </c>
    </row>
    <row r="255" spans="1:7" s="7" customFormat="1" ht="85.5" customHeight="1">
      <c r="A255" s="126" t="s">
        <v>15</v>
      </c>
      <c r="B255" s="127"/>
      <c r="C255" s="127"/>
      <c r="D255" s="127"/>
      <c r="E255" s="127"/>
      <c r="F255" s="127"/>
      <c r="G255" s="127"/>
    </row>
    <row r="256" spans="1:7" s="7" customFormat="1" ht="64.5" customHeight="1">
      <c r="A256" s="82">
        <v>1</v>
      </c>
      <c r="B256" s="75" t="s">
        <v>198</v>
      </c>
      <c r="C256" s="76">
        <v>70</v>
      </c>
      <c r="D256" s="79">
        <f>16.94*C256/100</f>
        <v>11.858000000000002</v>
      </c>
      <c r="E256" s="79">
        <f>8.02*C256/100</f>
        <v>5.6139999999999999</v>
      </c>
      <c r="F256" s="79">
        <f>9.15*C256/100</f>
        <v>6.4050000000000002</v>
      </c>
      <c r="G256" s="79">
        <f>181.59*C256/100</f>
        <v>127.11300000000001</v>
      </c>
    </row>
    <row r="257" spans="1:7" s="7" customFormat="1" ht="61.5">
      <c r="A257" s="82">
        <v>2</v>
      </c>
      <c r="B257" s="75" t="s">
        <v>103</v>
      </c>
      <c r="C257" s="76">
        <v>150</v>
      </c>
      <c r="D257" s="79">
        <f>2.1*C257/100</f>
        <v>3.15</v>
      </c>
      <c r="E257" s="79">
        <f>3.3*C257/100</f>
        <v>4.95</v>
      </c>
      <c r="F257" s="79">
        <f>13.73*C257/100</f>
        <v>20.594999999999999</v>
      </c>
      <c r="G257" s="79">
        <f>107.18*C257/100</f>
        <v>160.77000000000001</v>
      </c>
    </row>
    <row r="258" spans="1:7" s="7" customFormat="1" ht="80.25" customHeight="1">
      <c r="A258" s="82">
        <v>3</v>
      </c>
      <c r="B258" s="88" t="s">
        <v>177</v>
      </c>
      <c r="C258" s="76">
        <v>200</v>
      </c>
      <c r="D258" s="79">
        <f>0.05*C258/100</f>
        <v>0.1</v>
      </c>
      <c r="E258" s="79">
        <f>0.02*C258/100</f>
        <v>0.04</v>
      </c>
      <c r="F258" s="79">
        <f>8.79*C258/100</f>
        <v>17.579999999999998</v>
      </c>
      <c r="G258" s="79">
        <f>26.86*C258/100</f>
        <v>53.72</v>
      </c>
    </row>
    <row r="259" spans="1:7" s="7" customFormat="1" ht="73.5" customHeight="1">
      <c r="A259" s="82">
        <v>4</v>
      </c>
      <c r="B259" s="93" t="s">
        <v>147</v>
      </c>
      <c r="C259" s="76">
        <v>25</v>
      </c>
      <c r="D259" s="77">
        <f>7.21*C259/100</f>
        <v>1.8025</v>
      </c>
      <c r="E259" s="77">
        <f>4.74*C259/100</f>
        <v>1.1850000000000001</v>
      </c>
      <c r="F259" s="77">
        <f>40.4*C259/100</f>
        <v>10.1</v>
      </c>
      <c r="G259" s="77">
        <f>251.89*C259/100</f>
        <v>62.972499999999997</v>
      </c>
    </row>
    <row r="260" spans="1:7" s="13" customFormat="1" ht="67.5" customHeight="1">
      <c r="A260" s="82">
        <v>5</v>
      </c>
      <c r="B260" s="75" t="s">
        <v>56</v>
      </c>
      <c r="C260" s="76">
        <v>20</v>
      </c>
      <c r="D260" s="77">
        <f>7.76*C260/100</f>
        <v>1.5519999999999998</v>
      </c>
      <c r="E260" s="77">
        <f>2.65*C260/100</f>
        <v>0.53</v>
      </c>
      <c r="F260" s="77">
        <f>53.25*C260/100</f>
        <v>10.65</v>
      </c>
      <c r="G260" s="77">
        <f>273*C260/100</f>
        <v>54.6</v>
      </c>
    </row>
    <row r="261" spans="1:7" s="13" customFormat="1" ht="79.5" customHeight="1">
      <c r="A261" s="82"/>
      <c r="B261" s="72" t="s">
        <v>3</v>
      </c>
      <c r="C261" s="80"/>
      <c r="D261" s="89">
        <f t="shared" ref="D261:G261" si="39">SUM(D256:D257)+SUM(D258:D260)</f>
        <v>18.462500000000002</v>
      </c>
      <c r="E261" s="89">
        <f t="shared" si="39"/>
        <v>12.319000000000001</v>
      </c>
      <c r="F261" s="89">
        <f t="shared" si="39"/>
        <v>65.33</v>
      </c>
      <c r="G261" s="89">
        <f t="shared" si="39"/>
        <v>459.17550000000006</v>
      </c>
    </row>
    <row r="262" spans="1:7" s="46" customFormat="1" ht="101.25" customHeight="1">
      <c r="A262" s="95"/>
      <c r="B262" s="72" t="s">
        <v>6</v>
      </c>
      <c r="C262" s="80"/>
      <c r="D262" s="89">
        <f t="shared" ref="D262:G262" si="40">D246+D242+D261+D254</f>
        <v>54.433500000000009</v>
      </c>
      <c r="E262" s="89">
        <f t="shared" si="40"/>
        <v>55.402000000000001</v>
      </c>
      <c r="F262" s="89">
        <f t="shared" si="40"/>
        <v>200.32999999999998</v>
      </c>
      <c r="G262" s="89">
        <f t="shared" si="40"/>
        <v>1506.8040999999998</v>
      </c>
    </row>
    <row r="263" spans="1:7" s="15" customFormat="1" ht="33">
      <c r="A263" s="133" t="s">
        <v>132</v>
      </c>
      <c r="B263" s="134"/>
      <c r="C263" s="134"/>
      <c r="D263" s="134"/>
      <c r="E263" s="134"/>
      <c r="F263" s="134"/>
      <c r="G263" s="134"/>
    </row>
    <row r="264" spans="1:7" s="7" customFormat="1" ht="40.5" customHeight="1">
      <c r="A264" s="126" t="s">
        <v>65</v>
      </c>
      <c r="B264" s="127"/>
      <c r="C264" s="127"/>
      <c r="D264" s="127"/>
      <c r="E264" s="127"/>
      <c r="F264" s="127"/>
      <c r="G264" s="127"/>
    </row>
    <row r="265" spans="1:7" s="7" customFormat="1" ht="54" customHeight="1">
      <c r="A265" s="82">
        <v>1</v>
      </c>
      <c r="B265" s="78" t="s">
        <v>61</v>
      </c>
      <c r="C265" s="76">
        <v>80</v>
      </c>
      <c r="D265" s="77">
        <f>8.08*C265/100</f>
        <v>6.4639999999999995</v>
      </c>
      <c r="E265" s="77">
        <f>9.12*C265/100</f>
        <v>7.2959999999999994</v>
      </c>
      <c r="F265" s="77">
        <f>1.44*C265/100</f>
        <v>1.1519999999999999</v>
      </c>
      <c r="G265" s="77">
        <f>119.71*C265/100</f>
        <v>95.767999999999986</v>
      </c>
    </row>
    <row r="266" spans="1:7" s="14" customFormat="1" ht="49.5" customHeight="1">
      <c r="A266" s="82">
        <v>2</v>
      </c>
      <c r="B266" s="75" t="s">
        <v>47</v>
      </c>
      <c r="C266" s="76">
        <v>200</v>
      </c>
      <c r="D266" s="79">
        <f>2.25*C266/100</f>
        <v>4.5</v>
      </c>
      <c r="E266" s="79">
        <f>2.24*C266/100</f>
        <v>4.4800000000000004</v>
      </c>
      <c r="F266" s="79">
        <f>10.25*C266/100</f>
        <v>20.5</v>
      </c>
      <c r="G266" s="79">
        <f>70.23*C266/100</f>
        <v>140.46</v>
      </c>
    </row>
    <row r="267" spans="1:7" s="14" customFormat="1" ht="69.75" customHeight="1">
      <c r="A267" s="82">
        <v>3</v>
      </c>
      <c r="B267" s="88" t="s">
        <v>199</v>
      </c>
      <c r="C267" s="76">
        <v>20</v>
      </c>
      <c r="D267" s="79">
        <f>22.6*C267/100</f>
        <v>4.5199999999999996</v>
      </c>
      <c r="E267" s="79">
        <f>20.9*C267/100</f>
        <v>4.18</v>
      </c>
      <c r="F267" s="79">
        <f>0*C267/100</f>
        <v>0</v>
      </c>
      <c r="G267" s="79">
        <f>279*C267/100</f>
        <v>55.8</v>
      </c>
    </row>
    <row r="268" spans="1:7" s="7" customFormat="1" ht="56.25" customHeight="1">
      <c r="A268" s="82">
        <v>4</v>
      </c>
      <c r="B268" s="75" t="s">
        <v>56</v>
      </c>
      <c r="C268" s="76">
        <v>20</v>
      </c>
      <c r="D268" s="77">
        <f>7.76*C268/100</f>
        <v>1.5519999999999998</v>
      </c>
      <c r="E268" s="77">
        <f>2.65*C268/100</f>
        <v>0.53</v>
      </c>
      <c r="F268" s="77">
        <f>53.25*C268/100</f>
        <v>10.65</v>
      </c>
      <c r="G268" s="77">
        <f>273*C268/100</f>
        <v>54.6</v>
      </c>
    </row>
    <row r="269" spans="1:7" s="7" customFormat="1" ht="60" customHeight="1">
      <c r="A269" s="82"/>
      <c r="B269" s="72" t="s">
        <v>3</v>
      </c>
      <c r="C269" s="80"/>
      <c r="D269" s="81">
        <f t="shared" ref="D269:G269" si="41">SUM(D265:D268)</f>
        <v>17.035999999999998</v>
      </c>
      <c r="E269" s="81">
        <f t="shared" si="41"/>
        <v>16.486000000000001</v>
      </c>
      <c r="F269" s="81">
        <f t="shared" si="41"/>
        <v>32.302</v>
      </c>
      <c r="G269" s="81">
        <f t="shared" si="41"/>
        <v>346.62800000000004</v>
      </c>
    </row>
    <row r="270" spans="1:7" s="14" customFormat="1" ht="47.25" customHeight="1">
      <c r="A270" s="126" t="s">
        <v>64</v>
      </c>
      <c r="B270" s="127"/>
      <c r="C270" s="127"/>
      <c r="D270" s="127"/>
      <c r="E270" s="127"/>
      <c r="F270" s="127"/>
      <c r="G270" s="127"/>
    </row>
    <row r="271" spans="1:7" s="13" customFormat="1" ht="54.75" customHeight="1">
      <c r="A271" s="82">
        <v>1</v>
      </c>
      <c r="B271" s="75" t="s">
        <v>71</v>
      </c>
      <c r="C271" s="83">
        <v>300</v>
      </c>
      <c r="D271" s="84">
        <f>0*C271/100</f>
        <v>0</v>
      </c>
      <c r="E271" s="84">
        <v>0</v>
      </c>
      <c r="F271" s="84">
        <f>0*C271/100</f>
        <v>0</v>
      </c>
      <c r="G271" s="84">
        <f>0*C271/100</f>
        <v>0</v>
      </c>
    </row>
    <row r="272" spans="1:7" s="13" customFormat="1" ht="65.25" customHeight="1">
      <c r="A272" s="82">
        <v>2</v>
      </c>
      <c r="B272" s="75" t="s">
        <v>167</v>
      </c>
      <c r="C272" s="76">
        <v>80</v>
      </c>
      <c r="D272" s="84">
        <f>1.5*C272/100</f>
        <v>1.2</v>
      </c>
      <c r="E272" s="84">
        <f>0.5*C272/100</f>
        <v>0.4</v>
      </c>
      <c r="F272" s="84">
        <f>21*C272/100</f>
        <v>16.8</v>
      </c>
      <c r="G272" s="84">
        <f>96*C272/100</f>
        <v>76.8</v>
      </c>
    </row>
    <row r="273" spans="1:7" s="11" customFormat="1" ht="59.25" customHeight="1">
      <c r="A273" s="82"/>
      <c r="B273" s="72" t="s">
        <v>3</v>
      </c>
      <c r="C273" s="80"/>
      <c r="D273" s="81">
        <f t="shared" ref="D273:G273" si="42">SUM(D271:D272)</f>
        <v>1.2</v>
      </c>
      <c r="E273" s="81">
        <f t="shared" si="42"/>
        <v>0.4</v>
      </c>
      <c r="F273" s="81">
        <f t="shared" si="42"/>
        <v>16.8</v>
      </c>
      <c r="G273" s="81">
        <f t="shared" si="42"/>
        <v>76.8</v>
      </c>
    </row>
    <row r="274" spans="1:7" s="13" customFormat="1" ht="81.75" customHeight="1">
      <c r="A274" s="126" t="s">
        <v>4</v>
      </c>
      <c r="B274" s="127"/>
      <c r="C274" s="127"/>
      <c r="D274" s="127"/>
      <c r="E274" s="127"/>
      <c r="F274" s="127"/>
      <c r="G274" s="127"/>
    </row>
    <row r="275" spans="1:7" s="11" customFormat="1" ht="61.5">
      <c r="A275" s="82">
        <v>1</v>
      </c>
      <c r="B275" s="88" t="s">
        <v>60</v>
      </c>
      <c r="C275" s="76">
        <v>60</v>
      </c>
      <c r="D275" s="77">
        <f>1.13*C275/100</f>
        <v>0.67799999999999994</v>
      </c>
      <c r="E275" s="77">
        <f>10.27*C275/100</f>
        <v>6.161999999999999</v>
      </c>
      <c r="F275" s="77">
        <f>9.19*C275/100</f>
        <v>5.5139999999999993</v>
      </c>
      <c r="G275" s="77">
        <f>134.57*C275/100</f>
        <v>80.742000000000004</v>
      </c>
    </row>
    <row r="276" spans="1:7" s="13" customFormat="1" ht="69" customHeight="1">
      <c r="A276" s="82">
        <v>2</v>
      </c>
      <c r="B276" s="88" t="s">
        <v>105</v>
      </c>
      <c r="C276" s="76">
        <v>200</v>
      </c>
      <c r="D276" s="77">
        <f>1.01*C276/100</f>
        <v>2.02</v>
      </c>
      <c r="E276" s="77">
        <f>2.34*C276/100</f>
        <v>4.68</v>
      </c>
      <c r="F276" s="77">
        <f>4.25*C276/100</f>
        <v>8.5</v>
      </c>
      <c r="G276" s="77">
        <f>47.88*C276/100</f>
        <v>95.76</v>
      </c>
    </row>
    <row r="277" spans="1:7" s="7" customFormat="1" ht="66.75" customHeight="1">
      <c r="A277" s="82">
        <v>3</v>
      </c>
      <c r="B277" s="88" t="s">
        <v>106</v>
      </c>
      <c r="C277" s="76">
        <v>70</v>
      </c>
      <c r="D277" s="77">
        <f>16.42*C277/100</f>
        <v>11.494000000000002</v>
      </c>
      <c r="E277" s="77">
        <f>10.84*C277/100</f>
        <v>7.5879999999999992</v>
      </c>
      <c r="F277" s="77">
        <f>4.66*C277/100</f>
        <v>3.262</v>
      </c>
      <c r="G277" s="77">
        <f>182.82*C277/100</f>
        <v>127.97399999999999</v>
      </c>
    </row>
    <row r="278" spans="1:7" s="7" customFormat="1" ht="65.25" customHeight="1">
      <c r="A278" s="82">
        <v>4</v>
      </c>
      <c r="B278" s="88" t="s">
        <v>200</v>
      </c>
      <c r="C278" s="76">
        <v>150</v>
      </c>
      <c r="D278" s="79">
        <f>1.63*C278/100</f>
        <v>2.4449999999999998</v>
      </c>
      <c r="E278" s="79">
        <f>3*C278/100</f>
        <v>4.5</v>
      </c>
      <c r="F278" s="79">
        <f>8.17*C278/100</f>
        <v>12.255000000000001</v>
      </c>
      <c r="G278" s="79">
        <f>68.54*C278/100</f>
        <v>102.81000000000002</v>
      </c>
    </row>
    <row r="279" spans="1:7" s="13" customFormat="1" ht="61.5">
      <c r="A279" s="82">
        <v>5</v>
      </c>
      <c r="B279" s="75" t="s">
        <v>63</v>
      </c>
      <c r="C279" s="76">
        <v>200</v>
      </c>
      <c r="D279" s="77">
        <f>0.4*C279/100</f>
        <v>0.8</v>
      </c>
      <c r="E279" s="77">
        <f>0.06*C279/100</f>
        <v>0.12</v>
      </c>
      <c r="F279" s="77">
        <f>13.24*C279/100</f>
        <v>26.48</v>
      </c>
      <c r="G279" s="77">
        <f>46.13*C279/100</f>
        <v>92.26</v>
      </c>
    </row>
    <row r="280" spans="1:7" s="13" customFormat="1" ht="72.75" customHeight="1">
      <c r="A280" s="82">
        <v>6</v>
      </c>
      <c r="B280" s="75" t="s">
        <v>56</v>
      </c>
      <c r="C280" s="76">
        <v>20</v>
      </c>
      <c r="D280" s="77">
        <f>7.76*C280/100</f>
        <v>1.5519999999999998</v>
      </c>
      <c r="E280" s="77">
        <f>2.65*C280/100</f>
        <v>0.53</v>
      </c>
      <c r="F280" s="77">
        <f>53.25*C280/100</f>
        <v>10.65</v>
      </c>
      <c r="G280" s="77">
        <f>273*C280/100</f>
        <v>54.6</v>
      </c>
    </row>
    <row r="281" spans="1:7" s="7" customFormat="1" ht="69.75" customHeight="1">
      <c r="A281" s="82">
        <v>7</v>
      </c>
      <c r="B281" s="75" t="s">
        <v>55</v>
      </c>
      <c r="C281" s="76">
        <v>20</v>
      </c>
      <c r="D281" s="77">
        <f>5.86*C281/100</f>
        <v>1.1719999999999999</v>
      </c>
      <c r="E281" s="77">
        <f>0.94*C281/100</f>
        <v>0.18799999999999997</v>
      </c>
      <c r="F281" s="77">
        <f>44.4*C281/100</f>
        <v>8.8800000000000008</v>
      </c>
      <c r="G281" s="77">
        <f>189*C281/100</f>
        <v>37.799999999999997</v>
      </c>
    </row>
    <row r="282" spans="1:7" s="7" customFormat="1" ht="69.75" customHeight="1">
      <c r="A282" s="82"/>
      <c r="B282" s="72" t="s">
        <v>3</v>
      </c>
      <c r="C282" s="80"/>
      <c r="D282" s="89">
        <f t="shared" ref="D282:G282" si="43">SUM(D275:D281)</f>
        <v>20.161000000000001</v>
      </c>
      <c r="E282" s="89">
        <f t="shared" si="43"/>
        <v>23.768000000000001</v>
      </c>
      <c r="F282" s="89">
        <f t="shared" si="43"/>
        <v>75.540999999999997</v>
      </c>
      <c r="G282" s="89">
        <f t="shared" si="43"/>
        <v>591.94599999999991</v>
      </c>
    </row>
    <row r="283" spans="1:7" s="7" customFormat="1" ht="71.25" customHeight="1">
      <c r="A283" s="126" t="s">
        <v>15</v>
      </c>
      <c r="B283" s="127"/>
      <c r="C283" s="127"/>
      <c r="D283" s="127"/>
      <c r="E283" s="127"/>
      <c r="F283" s="127"/>
      <c r="G283" s="127"/>
    </row>
    <row r="284" spans="1:7" s="7" customFormat="1" ht="89.25" customHeight="1">
      <c r="A284" s="82">
        <v>1</v>
      </c>
      <c r="B284" s="75" t="s">
        <v>163</v>
      </c>
      <c r="C284" s="76">
        <v>70</v>
      </c>
      <c r="D284" s="81">
        <f>11.72*C284/100</f>
        <v>8.2040000000000006</v>
      </c>
      <c r="E284" s="81">
        <f>10.97*C284/100</f>
        <v>7.6790000000000012</v>
      </c>
      <c r="F284" s="81">
        <f>12.53*C284/100</f>
        <v>8.770999999999999</v>
      </c>
      <c r="G284" s="81">
        <f>188.33*C284/100</f>
        <v>131.83100000000002</v>
      </c>
    </row>
    <row r="285" spans="1:7" s="7" customFormat="1" ht="72" customHeight="1">
      <c r="A285" s="82">
        <v>2</v>
      </c>
      <c r="B285" s="78" t="s">
        <v>85</v>
      </c>
      <c r="C285" s="76">
        <v>150</v>
      </c>
      <c r="D285" s="77">
        <f>2.25*C285/100</f>
        <v>3.375</v>
      </c>
      <c r="E285" s="77">
        <f>3.67*C285/100</f>
        <v>5.5049999999999999</v>
      </c>
      <c r="F285" s="77">
        <f>17.47*C285/100</f>
        <v>26.204999999999998</v>
      </c>
      <c r="G285" s="77">
        <f>126.64*C285/100</f>
        <v>189.96</v>
      </c>
    </row>
    <row r="286" spans="1:7" s="7" customFormat="1" ht="47.25" customHeight="1">
      <c r="A286" s="82">
        <v>3</v>
      </c>
      <c r="B286" s="88" t="s">
        <v>201</v>
      </c>
      <c r="C286" s="76">
        <v>200</v>
      </c>
      <c r="D286" s="79">
        <f>0.75*C286/100</f>
        <v>1.5</v>
      </c>
      <c r="E286" s="79">
        <f>0.8*C286/100</f>
        <v>1.6</v>
      </c>
      <c r="F286" s="79">
        <f>6.16*C286/100</f>
        <v>12.32</v>
      </c>
      <c r="G286" s="77">
        <f>34.95*C286/100</f>
        <v>69.900000000000006</v>
      </c>
    </row>
    <row r="287" spans="1:7" s="7" customFormat="1" ht="67.5" customHeight="1">
      <c r="A287" s="82">
        <v>4</v>
      </c>
      <c r="B287" s="75" t="s">
        <v>56</v>
      </c>
      <c r="C287" s="76">
        <v>20</v>
      </c>
      <c r="D287" s="77">
        <f>7.76*C287/100</f>
        <v>1.5519999999999998</v>
      </c>
      <c r="E287" s="77">
        <f>2.65*C287/100</f>
        <v>0.53</v>
      </c>
      <c r="F287" s="77">
        <f>53.25*C287/100</f>
        <v>10.65</v>
      </c>
      <c r="G287" s="77">
        <f>273*C287/100</f>
        <v>54.6</v>
      </c>
    </row>
    <row r="288" spans="1:7" s="7" customFormat="1" ht="68.25" customHeight="1">
      <c r="A288" s="82">
        <v>5</v>
      </c>
      <c r="B288" s="100" t="s">
        <v>147</v>
      </c>
      <c r="C288" s="76">
        <v>25</v>
      </c>
      <c r="D288" s="79">
        <f>12.92*C288/100</f>
        <v>3.23</v>
      </c>
      <c r="E288" s="79">
        <f>6.69*C288/100</f>
        <v>1.6725000000000001</v>
      </c>
      <c r="F288" s="79">
        <f>53.75*C288/100</f>
        <v>13.4375</v>
      </c>
      <c r="G288" s="79">
        <f>328.28*C288/100</f>
        <v>82.07</v>
      </c>
    </row>
    <row r="289" spans="1:7" s="7" customFormat="1" ht="81" customHeight="1">
      <c r="A289" s="82"/>
      <c r="B289" s="72" t="s">
        <v>3</v>
      </c>
      <c r="C289" s="76"/>
      <c r="D289" s="89">
        <f t="shared" ref="D289:G289" si="44">SUM(D284:D288)</f>
        <v>17.861000000000001</v>
      </c>
      <c r="E289" s="89">
        <f t="shared" si="44"/>
        <v>16.986499999999999</v>
      </c>
      <c r="F289" s="89">
        <f t="shared" si="44"/>
        <v>71.383499999999998</v>
      </c>
      <c r="G289" s="89">
        <f t="shared" si="44"/>
        <v>528.3610000000001</v>
      </c>
    </row>
    <row r="290" spans="1:7" s="7" customFormat="1" ht="95.25" customHeight="1">
      <c r="A290" s="82"/>
      <c r="B290" s="72" t="s">
        <v>6</v>
      </c>
      <c r="C290" s="80"/>
      <c r="D290" s="89">
        <f t="shared" ref="D290:G290" si="45">D269+D282+D273+D289</f>
        <v>56.25800000000001</v>
      </c>
      <c r="E290" s="89">
        <f t="shared" si="45"/>
        <v>57.640500000000003</v>
      </c>
      <c r="F290" s="89">
        <f t="shared" si="45"/>
        <v>196.0265</v>
      </c>
      <c r="G290" s="89">
        <f t="shared" si="45"/>
        <v>1543.7350000000001</v>
      </c>
    </row>
    <row r="291" spans="1:7" s="7" customFormat="1" ht="108" customHeight="1">
      <c r="A291" s="82"/>
      <c r="B291" s="121" t="s">
        <v>66</v>
      </c>
      <c r="C291" s="124"/>
      <c r="D291" s="123">
        <f>(D179+D207+D234+D262+D290)/5</f>
        <v>58.087900000000005</v>
      </c>
      <c r="E291" s="123">
        <f t="shared" ref="E291:G291" si="46">(E179+E207+E234+E262+E290)/5</f>
        <v>59.626899999999999</v>
      </c>
      <c r="F291" s="123">
        <f t="shared" si="46"/>
        <v>213.6497</v>
      </c>
      <c r="G291" s="123">
        <f t="shared" si="46"/>
        <v>1647.04682</v>
      </c>
    </row>
    <row r="292" spans="1:7" s="7" customFormat="1" ht="40.5" customHeight="1">
      <c r="A292" s="133" t="s">
        <v>133</v>
      </c>
      <c r="B292" s="134"/>
      <c r="C292" s="134"/>
      <c r="D292" s="134"/>
      <c r="E292" s="134"/>
      <c r="F292" s="134"/>
      <c r="G292" s="134"/>
    </row>
    <row r="293" spans="1:7" s="7" customFormat="1" ht="41.25" customHeight="1">
      <c r="A293" s="126" t="s">
        <v>65</v>
      </c>
      <c r="B293" s="127"/>
      <c r="C293" s="127"/>
      <c r="D293" s="127"/>
      <c r="E293" s="127"/>
      <c r="F293" s="127"/>
      <c r="G293" s="127"/>
    </row>
    <row r="294" spans="1:7" s="45" customFormat="1" ht="59.25" customHeight="1">
      <c r="A294" s="82">
        <v>1</v>
      </c>
      <c r="B294" s="88" t="s">
        <v>202</v>
      </c>
      <c r="C294" s="76">
        <v>200</v>
      </c>
      <c r="D294" s="77">
        <f>3.68*C294/100</f>
        <v>7.36</v>
      </c>
      <c r="E294" s="77">
        <f>2.97*C294/100</f>
        <v>5.94</v>
      </c>
      <c r="F294" s="77">
        <f>21.09*C294/100</f>
        <v>42.18</v>
      </c>
      <c r="G294" s="77">
        <f>126.74*C294/100</f>
        <v>253.48</v>
      </c>
    </row>
    <row r="295" spans="1:7" s="13" customFormat="1" ht="64.5" customHeight="1">
      <c r="A295" s="82">
        <v>2</v>
      </c>
      <c r="B295" s="88" t="s">
        <v>107</v>
      </c>
      <c r="C295" s="76">
        <v>200</v>
      </c>
      <c r="D295" s="79">
        <f>1.69*C295/100</f>
        <v>3.38</v>
      </c>
      <c r="E295" s="79">
        <f>1.72*C295/100</f>
        <v>3.44</v>
      </c>
      <c r="F295" s="79">
        <f>7.42*C295/100</f>
        <v>14.84</v>
      </c>
      <c r="G295" s="77">
        <f>52.26*C295/100</f>
        <v>104.52</v>
      </c>
    </row>
    <row r="296" spans="1:7" s="15" customFormat="1" ht="63.75" customHeight="1">
      <c r="A296" s="82">
        <v>3</v>
      </c>
      <c r="B296" s="75" t="s">
        <v>191</v>
      </c>
      <c r="C296" s="96">
        <v>10</v>
      </c>
      <c r="D296" s="79">
        <f>26*C296/100</f>
        <v>2.6</v>
      </c>
      <c r="E296" s="79">
        <f>26.1*C296/100</f>
        <v>2.61</v>
      </c>
      <c r="F296" s="79">
        <f>0*C296/100</f>
        <v>0</v>
      </c>
      <c r="G296" s="77">
        <f>344*C296/100</f>
        <v>34.4</v>
      </c>
    </row>
    <row r="297" spans="1:7" s="13" customFormat="1" ht="69" customHeight="1">
      <c r="A297" s="82">
        <v>4</v>
      </c>
      <c r="B297" s="75" t="s">
        <v>53</v>
      </c>
      <c r="C297" s="76">
        <v>30</v>
      </c>
      <c r="D297" s="77">
        <f>8.8*C297/100</f>
        <v>2.64</v>
      </c>
      <c r="E297" s="77">
        <f>1.7*C297/100</f>
        <v>0.51</v>
      </c>
      <c r="F297" s="77">
        <f>29.4*C297/100</f>
        <v>8.82</v>
      </c>
      <c r="G297" s="77">
        <f>168*C297/100</f>
        <v>50.4</v>
      </c>
    </row>
    <row r="298" spans="1:7" s="46" customFormat="1" ht="86.25" customHeight="1">
      <c r="A298" s="95"/>
      <c r="B298" s="72" t="s">
        <v>3</v>
      </c>
      <c r="C298" s="80"/>
      <c r="D298" s="81">
        <f t="array" ref="D298">SUM(D294:D297)</f>
        <v>15.98</v>
      </c>
      <c r="E298" s="81">
        <f t="array" ref="E298">SUM(E294:E297)</f>
        <v>12.5</v>
      </c>
      <c r="F298" s="81">
        <f t="array" ref="F298">SUM(F294:F297)</f>
        <v>65.84</v>
      </c>
      <c r="G298" s="81">
        <f t="array" ref="G298">SUM(G294:G297)</f>
        <v>442.79999999999995</v>
      </c>
    </row>
    <row r="299" spans="1:7" s="7" customFormat="1" ht="87" customHeight="1">
      <c r="A299" s="126" t="s">
        <v>64</v>
      </c>
      <c r="B299" s="127"/>
      <c r="C299" s="127"/>
      <c r="D299" s="127"/>
      <c r="E299" s="127"/>
      <c r="F299" s="127"/>
      <c r="G299" s="127"/>
    </row>
    <row r="300" spans="1:7" s="7" customFormat="1" ht="64.5" customHeight="1">
      <c r="A300" s="82">
        <v>1</v>
      </c>
      <c r="B300" s="75" t="s">
        <v>71</v>
      </c>
      <c r="C300" s="83">
        <v>300</v>
      </c>
      <c r="D300" s="84">
        <f>0*C300/100</f>
        <v>0</v>
      </c>
      <c r="E300" s="84">
        <v>0</v>
      </c>
      <c r="F300" s="84">
        <f>0*C300/100</f>
        <v>0</v>
      </c>
      <c r="G300" s="84">
        <f>0*C300/100</f>
        <v>0</v>
      </c>
    </row>
    <row r="301" spans="1:7" s="45" customFormat="1" ht="75" customHeight="1">
      <c r="A301" s="98">
        <v>2</v>
      </c>
      <c r="B301" s="75" t="s">
        <v>167</v>
      </c>
      <c r="C301" s="76">
        <v>80</v>
      </c>
      <c r="D301" s="84">
        <f>0.8*C301/100</f>
        <v>0.64</v>
      </c>
      <c r="E301" s="84">
        <f>0.4*C301/100</f>
        <v>0.32</v>
      </c>
      <c r="F301" s="84">
        <f>8.1*C301/100</f>
        <v>6.48</v>
      </c>
      <c r="G301" s="84">
        <f>47*C301/100</f>
        <v>37.6</v>
      </c>
    </row>
    <row r="302" spans="1:7" s="13" customFormat="1" ht="84.75" customHeight="1">
      <c r="A302" s="82"/>
      <c r="B302" s="72" t="s">
        <v>3</v>
      </c>
      <c r="C302" s="80"/>
      <c r="D302" s="89">
        <f t="shared" ref="D302:G302" si="47">SUM(D300:D301)</f>
        <v>0.64</v>
      </c>
      <c r="E302" s="89">
        <f t="shared" si="47"/>
        <v>0.32</v>
      </c>
      <c r="F302" s="89">
        <f t="shared" si="47"/>
        <v>6.48</v>
      </c>
      <c r="G302" s="89">
        <f t="shared" si="47"/>
        <v>37.6</v>
      </c>
    </row>
    <row r="303" spans="1:7" s="7" customFormat="1" ht="90" customHeight="1">
      <c r="A303" s="126" t="s">
        <v>4</v>
      </c>
      <c r="B303" s="127"/>
      <c r="C303" s="127"/>
      <c r="D303" s="127"/>
      <c r="E303" s="127"/>
      <c r="F303" s="127"/>
      <c r="G303" s="127"/>
    </row>
    <row r="304" spans="1:7" s="7" customFormat="1" ht="79.5" customHeight="1">
      <c r="A304" s="82">
        <v>1</v>
      </c>
      <c r="B304" s="78" t="s">
        <v>203</v>
      </c>
      <c r="C304" s="76">
        <v>60</v>
      </c>
      <c r="D304" s="77">
        <f>0.99*C304/100</f>
        <v>0.59399999999999997</v>
      </c>
      <c r="E304" s="77">
        <f>8.48*C304/100</f>
        <v>5.0880000000000001</v>
      </c>
      <c r="F304" s="77">
        <f>5.6*C304/100</f>
        <v>3.36</v>
      </c>
      <c r="G304" s="77">
        <f>103.99*C304/100</f>
        <v>62.393999999999998</v>
      </c>
    </row>
    <row r="305" spans="1:8" s="15" customFormat="1" ht="51" customHeight="1">
      <c r="A305" s="82">
        <v>2</v>
      </c>
      <c r="B305" s="88" t="s">
        <v>204</v>
      </c>
      <c r="C305" s="76">
        <v>200</v>
      </c>
      <c r="D305" s="77">
        <f>1.85*C305/100</f>
        <v>3.7</v>
      </c>
      <c r="E305" s="77">
        <f>3.66*C305/100</f>
        <v>7.32</v>
      </c>
      <c r="F305" s="77">
        <f>2.51*C305/100</f>
        <v>5.0199999999999996</v>
      </c>
      <c r="G305" s="77">
        <f>56.39*C305/100</f>
        <v>112.78</v>
      </c>
    </row>
    <row r="306" spans="1:8" s="13" customFormat="1" ht="69" customHeight="1">
      <c r="A306" s="82">
        <v>3</v>
      </c>
      <c r="B306" s="75" t="s">
        <v>121</v>
      </c>
      <c r="C306" s="76">
        <v>70</v>
      </c>
      <c r="D306" s="77">
        <f>14.62*C306/100</f>
        <v>10.234</v>
      </c>
      <c r="E306" s="77">
        <f>10.8*C306/100</f>
        <v>7.56</v>
      </c>
      <c r="F306" s="77">
        <f>9.22*C306/100</f>
        <v>6.4540000000000006</v>
      </c>
      <c r="G306" s="77">
        <f>204.26*C306/100</f>
        <v>142.982</v>
      </c>
    </row>
    <row r="307" spans="1:8" s="13" customFormat="1" ht="64.5" customHeight="1">
      <c r="A307" s="82">
        <v>4</v>
      </c>
      <c r="B307" s="78" t="s">
        <v>10</v>
      </c>
      <c r="C307" s="76">
        <v>150</v>
      </c>
      <c r="D307" s="79">
        <f>2.13*C307/100</f>
        <v>3.1949999999999998</v>
      </c>
      <c r="E307" s="79">
        <f>4.94*C307/100</f>
        <v>7.410000000000001</v>
      </c>
      <c r="F307" s="79">
        <f>14.27*C307/100</f>
        <v>21.405000000000001</v>
      </c>
      <c r="G307" s="79">
        <f>110.31*C307/100</f>
        <v>165.465</v>
      </c>
    </row>
    <row r="308" spans="1:8" s="13" customFormat="1" ht="62.25" customHeight="1">
      <c r="A308" s="82">
        <v>5</v>
      </c>
      <c r="B308" s="88" t="s">
        <v>176</v>
      </c>
      <c r="C308" s="76">
        <v>200</v>
      </c>
      <c r="D308" s="77">
        <f>0.06*C308/100</f>
        <v>0.12</v>
      </c>
      <c r="E308" s="77">
        <f>0.02*C308/100</f>
        <v>0.04</v>
      </c>
      <c r="F308" s="77">
        <f>8.35*C308/100</f>
        <v>16.7</v>
      </c>
      <c r="G308" s="77">
        <f>25.02*C308/100</f>
        <v>50.04</v>
      </c>
    </row>
    <row r="309" spans="1:8" s="11" customFormat="1" ht="90.75" customHeight="1">
      <c r="A309" s="82">
        <v>6</v>
      </c>
      <c r="B309" s="75" t="s">
        <v>56</v>
      </c>
      <c r="C309" s="76">
        <v>20</v>
      </c>
      <c r="D309" s="77">
        <f>7.76*C309/100</f>
        <v>1.5519999999999998</v>
      </c>
      <c r="E309" s="77">
        <f>2.65*C309/100</f>
        <v>0.53</v>
      </c>
      <c r="F309" s="77">
        <f>53.25*C309/100</f>
        <v>10.65</v>
      </c>
      <c r="G309" s="77">
        <f>273*C309/100</f>
        <v>54.6</v>
      </c>
    </row>
    <row r="310" spans="1:8" s="13" customFormat="1" ht="72" customHeight="1">
      <c r="A310" s="82">
        <v>7</v>
      </c>
      <c r="B310" s="75" t="s">
        <v>55</v>
      </c>
      <c r="C310" s="76">
        <v>20</v>
      </c>
      <c r="D310" s="77">
        <f>5.86*C310/100</f>
        <v>1.1719999999999999</v>
      </c>
      <c r="E310" s="77">
        <f>0.94*C310/100</f>
        <v>0.18799999999999997</v>
      </c>
      <c r="F310" s="77">
        <f>44.4*C310/100</f>
        <v>8.8800000000000008</v>
      </c>
      <c r="G310" s="77">
        <f>189*C310/100</f>
        <v>37.799999999999997</v>
      </c>
    </row>
    <row r="311" spans="1:8" s="7" customFormat="1" ht="78" customHeight="1">
      <c r="A311" s="82"/>
      <c r="B311" s="72" t="s">
        <v>3</v>
      </c>
      <c r="C311" s="80"/>
      <c r="D311" s="89">
        <f t="shared" ref="D311:G311" si="48">SUM(D304:D307)+SUM(D308:D310)</f>
        <v>20.567</v>
      </c>
      <c r="E311" s="89">
        <f t="shared" si="48"/>
        <v>28.135999999999999</v>
      </c>
      <c r="F311" s="89">
        <f t="shared" si="48"/>
        <v>72.469000000000008</v>
      </c>
      <c r="G311" s="89">
        <f t="shared" si="48"/>
        <v>626.06099999999992</v>
      </c>
    </row>
    <row r="312" spans="1:8" s="7" customFormat="1" ht="51.75" customHeight="1">
      <c r="A312" s="126" t="s">
        <v>15</v>
      </c>
      <c r="B312" s="127"/>
      <c r="C312" s="127"/>
      <c r="D312" s="127"/>
      <c r="E312" s="127"/>
      <c r="F312" s="127"/>
      <c r="G312" s="127"/>
    </row>
    <row r="313" spans="1:8" s="13" customFormat="1" ht="71.25" customHeight="1">
      <c r="A313" s="82">
        <v>1</v>
      </c>
      <c r="B313" s="78" t="s">
        <v>16</v>
      </c>
      <c r="C313" s="96">
        <v>60</v>
      </c>
      <c r="D313" s="77">
        <f>1.57*C313/100</f>
        <v>0.94200000000000006</v>
      </c>
      <c r="E313" s="77">
        <f>10.18*C313/100</f>
        <v>6.1079999999999997</v>
      </c>
      <c r="F313" s="77">
        <f>6.7*C313/100</f>
        <v>4.0199999999999996</v>
      </c>
      <c r="G313" s="77">
        <f>129.231*C313/100</f>
        <v>77.538600000000002</v>
      </c>
    </row>
    <row r="314" spans="1:8" s="13" customFormat="1" ht="60.75" customHeight="1">
      <c r="A314" s="82">
        <v>2</v>
      </c>
      <c r="B314" s="88" t="s">
        <v>201</v>
      </c>
      <c r="C314" s="76">
        <v>200</v>
      </c>
      <c r="D314" s="79">
        <f>0.75*C314/100</f>
        <v>1.5</v>
      </c>
      <c r="E314" s="79">
        <f>0.8*C314/100</f>
        <v>1.6</v>
      </c>
      <c r="F314" s="79">
        <f>6.16*C314/100</f>
        <v>12.32</v>
      </c>
      <c r="G314" s="77">
        <f>34.95*C314/100</f>
        <v>69.900000000000006</v>
      </c>
    </row>
    <row r="315" spans="1:8" s="16" customFormat="1" ht="81.75" customHeight="1">
      <c r="A315" s="82">
        <v>3</v>
      </c>
      <c r="B315" s="75" t="s">
        <v>56</v>
      </c>
      <c r="C315" s="76">
        <v>20</v>
      </c>
      <c r="D315" s="77">
        <f>7.76*C315/100</f>
        <v>1.5519999999999998</v>
      </c>
      <c r="E315" s="77">
        <f>2.65*C315/100</f>
        <v>0.53</v>
      </c>
      <c r="F315" s="77">
        <f>53.25*C315/100</f>
        <v>10.65</v>
      </c>
      <c r="G315" s="77">
        <f>273*C315/100</f>
        <v>54.6</v>
      </c>
    </row>
    <row r="316" spans="1:8" s="7" customFormat="1" ht="75.75" customHeight="1">
      <c r="A316" s="82">
        <v>4</v>
      </c>
      <c r="B316" s="78" t="s">
        <v>205</v>
      </c>
      <c r="C316" s="76">
        <v>25</v>
      </c>
      <c r="D316" s="77">
        <f>7.88*C316/100</f>
        <v>1.97</v>
      </c>
      <c r="E316" s="77">
        <f>5.32*C316/100</f>
        <v>1.33</v>
      </c>
      <c r="F316" s="77">
        <f>40.5*C316/100</f>
        <v>10.125</v>
      </c>
      <c r="G316" s="77">
        <f>264.67*C316/100</f>
        <v>66.167500000000004</v>
      </c>
    </row>
    <row r="317" spans="1:8" s="7" customFormat="1" ht="80.25" customHeight="1">
      <c r="A317" s="95"/>
      <c r="B317" s="72" t="s">
        <v>3</v>
      </c>
      <c r="C317" s="76"/>
      <c r="D317" s="89">
        <f t="shared" ref="D317:G317" si="49">SUM(D313:D316)</f>
        <v>5.9639999999999995</v>
      </c>
      <c r="E317" s="89">
        <f t="shared" si="49"/>
        <v>9.5679999999999996</v>
      </c>
      <c r="F317" s="89">
        <f t="shared" si="49"/>
        <v>37.115000000000002</v>
      </c>
      <c r="G317" s="89">
        <f t="shared" si="49"/>
        <v>268.20609999999999</v>
      </c>
    </row>
    <row r="318" spans="1:8" s="46" customFormat="1" ht="94.5" customHeight="1">
      <c r="A318" s="95"/>
      <c r="B318" s="72" t="s">
        <v>6</v>
      </c>
      <c r="C318" s="80"/>
      <c r="D318" s="89">
        <f t="shared" ref="D318:G318" si="50">D298+D302+D311+D317</f>
        <v>43.150999999999996</v>
      </c>
      <c r="E318" s="89">
        <f t="shared" si="50"/>
        <v>50.524000000000001</v>
      </c>
      <c r="F318" s="89">
        <f t="shared" si="50"/>
        <v>181.90400000000002</v>
      </c>
      <c r="G318" s="89">
        <f t="shared" si="50"/>
        <v>1374.6670999999997</v>
      </c>
      <c r="H318" s="47"/>
    </row>
    <row r="319" spans="1:8" s="7" customFormat="1" ht="56.25" customHeight="1">
      <c r="A319" s="133" t="s">
        <v>134</v>
      </c>
      <c r="B319" s="134"/>
      <c r="C319" s="134"/>
      <c r="D319" s="134"/>
      <c r="E319" s="134"/>
      <c r="F319" s="134"/>
      <c r="G319" s="134"/>
    </row>
    <row r="320" spans="1:8" s="7" customFormat="1" ht="71.25" customHeight="1">
      <c r="A320" s="126" t="s">
        <v>65</v>
      </c>
      <c r="B320" s="127"/>
      <c r="C320" s="127"/>
      <c r="D320" s="127"/>
      <c r="E320" s="127"/>
      <c r="F320" s="127"/>
      <c r="G320" s="127"/>
    </row>
    <row r="321" spans="1:7" s="48" customFormat="1" ht="57.75" customHeight="1">
      <c r="A321" s="82">
        <v>1</v>
      </c>
      <c r="B321" s="78" t="s">
        <v>80</v>
      </c>
      <c r="C321" s="76">
        <v>200</v>
      </c>
      <c r="D321" s="77">
        <f>3.24*C321/100</f>
        <v>6.48</v>
      </c>
      <c r="E321" s="77">
        <f>3.64*C321/100</f>
        <v>7.28</v>
      </c>
      <c r="F321" s="77">
        <f>9.92*C321/100</f>
        <v>19.84</v>
      </c>
      <c r="G321" s="77">
        <f>96.56*C321/100</f>
        <v>193.12</v>
      </c>
    </row>
    <row r="322" spans="1:7" s="7" customFormat="1" ht="61.5" customHeight="1">
      <c r="A322" s="82">
        <v>2</v>
      </c>
      <c r="B322" s="78" t="s">
        <v>96</v>
      </c>
      <c r="C322" s="76">
        <v>200</v>
      </c>
      <c r="D322" s="79">
        <f>1.56*C322/100</f>
        <v>3.12</v>
      </c>
      <c r="E322" s="79">
        <f>1.6*C322/100</f>
        <v>3.2</v>
      </c>
      <c r="F322" s="79">
        <f>9.36*C322/100</f>
        <v>18.72</v>
      </c>
      <c r="G322" s="79">
        <f>58.26*C322/100</f>
        <v>116.52</v>
      </c>
    </row>
    <row r="323" spans="1:7" s="7" customFormat="1" ht="69" customHeight="1">
      <c r="A323" s="82">
        <v>3</v>
      </c>
      <c r="B323" s="75" t="s">
        <v>57</v>
      </c>
      <c r="C323" s="76">
        <v>10</v>
      </c>
      <c r="D323" s="79">
        <f>0.5*C323/100</f>
        <v>0.05</v>
      </c>
      <c r="E323" s="79">
        <f>82.5*C323/100</f>
        <v>8.25</v>
      </c>
      <c r="F323" s="79">
        <f>0.8*C323/100</f>
        <v>0.08</v>
      </c>
      <c r="G323" s="79">
        <f>748*C323/100</f>
        <v>74.8</v>
      </c>
    </row>
    <row r="324" spans="1:7" s="7" customFormat="1" ht="57.75" customHeight="1">
      <c r="A324" s="82">
        <v>4</v>
      </c>
      <c r="B324" s="75" t="s">
        <v>56</v>
      </c>
      <c r="C324" s="76">
        <v>20</v>
      </c>
      <c r="D324" s="77">
        <f>7.76*C324/100</f>
        <v>1.5519999999999998</v>
      </c>
      <c r="E324" s="77">
        <f>2.65*C324/100</f>
        <v>0.53</v>
      </c>
      <c r="F324" s="77">
        <f>53.25*C324/100</f>
        <v>10.65</v>
      </c>
      <c r="G324" s="77">
        <f>273*C324/100</f>
        <v>54.6</v>
      </c>
    </row>
    <row r="325" spans="1:7" s="46" customFormat="1" ht="78" customHeight="1">
      <c r="A325" s="95"/>
      <c r="B325" s="72" t="s">
        <v>3</v>
      </c>
      <c r="C325" s="80"/>
      <c r="D325" s="89">
        <f t="shared" ref="D325:G325" si="51">SUM(D321:D324)</f>
        <v>11.202000000000002</v>
      </c>
      <c r="E325" s="89">
        <f t="shared" si="51"/>
        <v>19.260000000000002</v>
      </c>
      <c r="F325" s="89">
        <f t="shared" si="51"/>
        <v>49.29</v>
      </c>
      <c r="G325" s="89">
        <f t="shared" si="51"/>
        <v>439.04</v>
      </c>
    </row>
    <row r="326" spans="1:7" s="7" customFormat="1" ht="73.5" customHeight="1">
      <c r="A326" s="126" t="s">
        <v>64</v>
      </c>
      <c r="B326" s="127"/>
      <c r="C326" s="127"/>
      <c r="D326" s="127"/>
      <c r="E326" s="127"/>
      <c r="F326" s="127"/>
      <c r="G326" s="127"/>
    </row>
    <row r="327" spans="1:7" s="69" customFormat="1" ht="62.25" customHeight="1">
      <c r="A327" s="82">
        <v>1</v>
      </c>
      <c r="B327" s="75" t="s">
        <v>71</v>
      </c>
      <c r="C327" s="83">
        <v>300</v>
      </c>
      <c r="D327" s="84">
        <f>0*C327/100</f>
        <v>0</v>
      </c>
      <c r="E327" s="84">
        <v>0</v>
      </c>
      <c r="F327" s="84">
        <f>0*C327/100</f>
        <v>0</v>
      </c>
      <c r="G327" s="84">
        <f>0*C327/100</f>
        <v>0</v>
      </c>
    </row>
    <row r="328" spans="1:7" s="70" customFormat="1" ht="69.75" customHeight="1">
      <c r="A328" s="82">
        <v>2</v>
      </c>
      <c r="B328" s="75" t="s">
        <v>167</v>
      </c>
      <c r="C328" s="76">
        <v>80</v>
      </c>
      <c r="D328" s="84">
        <f>0.4*C328/100</f>
        <v>0.32</v>
      </c>
      <c r="E328" s="84">
        <f>0.4*C328/100</f>
        <v>0.32</v>
      </c>
      <c r="F328" s="84">
        <f>9.8*C328/100</f>
        <v>7.84</v>
      </c>
      <c r="G328" s="84">
        <f>47*C328/100</f>
        <v>37.6</v>
      </c>
    </row>
    <row r="329" spans="1:7" s="71" customFormat="1" ht="69.75" customHeight="1">
      <c r="A329" s="82"/>
      <c r="B329" s="72" t="s">
        <v>3</v>
      </c>
      <c r="C329" s="80"/>
      <c r="D329" s="89">
        <f t="shared" ref="D329:G329" si="52">SUM(D327:D328)</f>
        <v>0.32</v>
      </c>
      <c r="E329" s="89">
        <f t="shared" si="52"/>
        <v>0.32</v>
      </c>
      <c r="F329" s="89">
        <f t="shared" si="52"/>
        <v>7.84</v>
      </c>
      <c r="G329" s="89">
        <f t="shared" si="52"/>
        <v>37.6</v>
      </c>
    </row>
    <row r="330" spans="1:7" s="13" customFormat="1" ht="96.75" customHeight="1">
      <c r="A330" s="126" t="s">
        <v>4</v>
      </c>
      <c r="B330" s="127"/>
      <c r="C330" s="127"/>
      <c r="D330" s="127"/>
      <c r="E330" s="127"/>
      <c r="F330" s="127"/>
      <c r="G330" s="127"/>
    </row>
    <row r="331" spans="1:7" s="15" customFormat="1" ht="72.75" customHeight="1">
      <c r="A331" s="82">
        <v>1</v>
      </c>
      <c r="B331" s="78" t="s">
        <v>206</v>
      </c>
      <c r="C331" s="76">
        <v>60</v>
      </c>
      <c r="D331" s="77">
        <f>1.57*C331/100</f>
        <v>0.94200000000000006</v>
      </c>
      <c r="E331" s="77">
        <f>5.13*C331/100</f>
        <v>3.0780000000000003</v>
      </c>
      <c r="F331" s="77">
        <f>6.44*C331/100</f>
        <v>3.8640000000000003</v>
      </c>
      <c r="G331" s="77">
        <f>78.52*C331/100</f>
        <v>47.111999999999995</v>
      </c>
    </row>
    <row r="332" spans="1:7" s="15" customFormat="1" ht="69" customHeight="1">
      <c r="A332" s="82">
        <v>2</v>
      </c>
      <c r="B332" s="93" t="s">
        <v>109</v>
      </c>
      <c r="C332" s="76">
        <v>200</v>
      </c>
      <c r="D332" s="77">
        <f>1.99*C332/100</f>
        <v>3.98</v>
      </c>
      <c r="E332" s="77">
        <f>1.82*C332/100</f>
        <v>3.64</v>
      </c>
      <c r="F332" s="77">
        <f>5.81*C332/100</f>
        <v>11.62</v>
      </c>
      <c r="G332" s="77">
        <f>55.05*C332/100</f>
        <v>110.1</v>
      </c>
    </row>
    <row r="333" spans="1:7" s="7" customFormat="1" ht="68.25" customHeight="1">
      <c r="A333" s="82">
        <v>3</v>
      </c>
      <c r="B333" s="78" t="s">
        <v>239</v>
      </c>
      <c r="C333" s="76">
        <v>70</v>
      </c>
      <c r="D333" s="77">
        <f>9.28*C333/100</f>
        <v>6.4959999999999987</v>
      </c>
      <c r="E333" s="77">
        <f>5.03*C333/100</f>
        <v>3.5210000000000004</v>
      </c>
      <c r="F333" s="77">
        <f>4.27*C333/100</f>
        <v>2.9889999999999999</v>
      </c>
      <c r="G333" s="77">
        <f>131.66*C333/100</f>
        <v>92.161999999999992</v>
      </c>
    </row>
    <row r="334" spans="1:7" s="7" customFormat="1" ht="69" customHeight="1">
      <c r="A334" s="82">
        <v>4</v>
      </c>
      <c r="B334" s="78" t="s">
        <v>7</v>
      </c>
      <c r="C334" s="76">
        <v>150</v>
      </c>
      <c r="D334" s="77">
        <f>2.38*C334/100</f>
        <v>3.57</v>
      </c>
      <c r="E334" s="77">
        <f>4.43*C334/100</f>
        <v>6.6449999999999996</v>
      </c>
      <c r="F334" s="77">
        <f>19.46*C334/100</f>
        <v>29.19</v>
      </c>
      <c r="G334" s="77">
        <f>143.17*C334/100</f>
        <v>214.75499999999997</v>
      </c>
    </row>
    <row r="335" spans="1:7" s="12" customFormat="1" ht="64.5" customHeight="1">
      <c r="A335" s="82">
        <v>5</v>
      </c>
      <c r="B335" s="78" t="s">
        <v>110</v>
      </c>
      <c r="C335" s="76">
        <v>200</v>
      </c>
      <c r="D335" s="77">
        <f>0.09*C335/100</f>
        <v>0.18</v>
      </c>
      <c r="E335" s="77">
        <f>0.01*C335/100</f>
        <v>0.02</v>
      </c>
      <c r="F335" s="77">
        <f>13.73*C335/100</f>
        <v>27.46</v>
      </c>
      <c r="G335" s="77">
        <f>47.29*C335/100</f>
        <v>94.58</v>
      </c>
    </row>
    <row r="336" spans="1:7" s="12" customFormat="1" ht="75.75" customHeight="1">
      <c r="A336" s="82">
        <v>6</v>
      </c>
      <c r="B336" s="75" t="s">
        <v>56</v>
      </c>
      <c r="C336" s="76">
        <v>20</v>
      </c>
      <c r="D336" s="77">
        <f>7.76*C336/100</f>
        <v>1.5519999999999998</v>
      </c>
      <c r="E336" s="77">
        <f>2.65*C336/100</f>
        <v>0.53</v>
      </c>
      <c r="F336" s="77">
        <f>53.25*C336/100</f>
        <v>10.65</v>
      </c>
      <c r="G336" s="77">
        <f>273*C336/100</f>
        <v>54.6</v>
      </c>
    </row>
    <row r="337" spans="1:7" s="7" customFormat="1" ht="72.75" customHeight="1">
      <c r="A337" s="82">
        <v>7</v>
      </c>
      <c r="B337" s="75" t="s">
        <v>55</v>
      </c>
      <c r="C337" s="76">
        <v>20</v>
      </c>
      <c r="D337" s="77">
        <f>5.86*C337/100</f>
        <v>1.1719999999999999</v>
      </c>
      <c r="E337" s="77">
        <f>0.94*C337/100</f>
        <v>0.18799999999999997</v>
      </c>
      <c r="F337" s="77">
        <f>44.4*C337/100</f>
        <v>8.8800000000000008</v>
      </c>
      <c r="G337" s="77">
        <f>189*C337/100</f>
        <v>37.799999999999997</v>
      </c>
    </row>
    <row r="338" spans="1:7" s="7" customFormat="1" ht="79.5" customHeight="1">
      <c r="A338" s="82"/>
      <c r="B338" s="72" t="s">
        <v>3</v>
      </c>
      <c r="C338" s="80"/>
      <c r="D338" s="89">
        <f t="shared" ref="D338:G338" si="53">SUM(D331:D337)</f>
        <v>17.891999999999999</v>
      </c>
      <c r="E338" s="89">
        <f t="shared" si="53"/>
        <v>17.622</v>
      </c>
      <c r="F338" s="89">
        <f t="shared" si="53"/>
        <v>94.652999999999992</v>
      </c>
      <c r="G338" s="89">
        <f t="shared" si="53"/>
        <v>651.10899999999992</v>
      </c>
    </row>
    <row r="339" spans="1:7" s="13" customFormat="1" ht="30">
      <c r="A339" s="126" t="s">
        <v>15</v>
      </c>
      <c r="B339" s="127"/>
      <c r="C339" s="127"/>
      <c r="D339" s="127"/>
      <c r="E339" s="127"/>
      <c r="F339" s="127"/>
      <c r="G339" s="127"/>
    </row>
    <row r="340" spans="1:7" s="13" customFormat="1" ht="64.5" customHeight="1">
      <c r="A340" s="82">
        <v>1</v>
      </c>
      <c r="B340" s="75" t="s">
        <v>168</v>
      </c>
      <c r="C340" s="76">
        <v>70</v>
      </c>
      <c r="D340" s="77">
        <f>16.39*C340/100</f>
        <v>11.472999999999999</v>
      </c>
      <c r="E340" s="77">
        <f>8.44*C340/100</f>
        <v>5.9079999999999995</v>
      </c>
      <c r="F340" s="77">
        <f>3.51*C340/100</f>
        <v>2.4569999999999999</v>
      </c>
      <c r="G340" s="77">
        <f>158.04*C340/100</f>
        <v>110.62799999999999</v>
      </c>
    </row>
    <row r="341" spans="1:7" s="13" customFormat="1" ht="66.75" customHeight="1">
      <c r="A341" s="82">
        <v>2</v>
      </c>
      <c r="B341" s="75" t="s">
        <v>46</v>
      </c>
      <c r="C341" s="76">
        <v>150</v>
      </c>
      <c r="D341" s="77">
        <f>3.61*C341/100</f>
        <v>5.415</v>
      </c>
      <c r="E341" s="77">
        <f>4.47*C341/100</f>
        <v>6.7050000000000001</v>
      </c>
      <c r="F341" s="77">
        <f>19.28*C341/100</f>
        <v>28.92</v>
      </c>
      <c r="G341" s="77">
        <f>133.46*C341/100</f>
        <v>200.19</v>
      </c>
    </row>
    <row r="342" spans="1:7" s="13" customFormat="1" ht="88.5" customHeight="1">
      <c r="A342" s="82">
        <v>3</v>
      </c>
      <c r="B342" s="75" t="s">
        <v>177</v>
      </c>
      <c r="C342" s="76">
        <v>200</v>
      </c>
      <c r="D342" s="79">
        <f>0.1*C342/100</f>
        <v>0.2</v>
      </c>
      <c r="E342" s="79">
        <f>0.04*C342/100</f>
        <v>0.08</v>
      </c>
      <c r="F342" s="79">
        <f>9.15*C342/100</f>
        <v>18.3</v>
      </c>
      <c r="G342" s="79">
        <f>28.46*C342/100</f>
        <v>56.92</v>
      </c>
    </row>
    <row r="343" spans="1:7" s="7" customFormat="1" ht="61.5">
      <c r="A343" s="82">
        <v>4</v>
      </c>
      <c r="B343" s="94" t="s">
        <v>111</v>
      </c>
      <c r="C343" s="76">
        <v>50</v>
      </c>
      <c r="D343" s="79">
        <f>12.87*C343/100</f>
        <v>6.4349999999999996</v>
      </c>
      <c r="E343" s="79">
        <f>15.76*C343/100</f>
        <v>7.88</v>
      </c>
      <c r="F343" s="79">
        <f>32.02*C343/100</f>
        <v>16.010000000000002</v>
      </c>
      <c r="G343" s="79">
        <f>335.62*C343/100</f>
        <v>167.81</v>
      </c>
    </row>
    <row r="344" spans="1:7" s="13" customFormat="1" ht="76.5" customHeight="1">
      <c r="A344" s="82"/>
      <c r="B344" s="72" t="s">
        <v>3</v>
      </c>
      <c r="C344" s="76"/>
      <c r="D344" s="81">
        <f t="shared" ref="D344:G344" si="54">SUM(D340:D343)</f>
        <v>23.522999999999996</v>
      </c>
      <c r="E344" s="81">
        <f t="shared" si="54"/>
        <v>20.573</v>
      </c>
      <c r="F344" s="81">
        <f t="shared" si="54"/>
        <v>65.687000000000012</v>
      </c>
      <c r="G344" s="81">
        <f t="shared" si="54"/>
        <v>535.548</v>
      </c>
    </row>
    <row r="345" spans="1:7" s="46" customFormat="1" ht="115.5" customHeight="1">
      <c r="A345" s="95"/>
      <c r="B345" s="72" t="s">
        <v>6</v>
      </c>
      <c r="C345" s="80"/>
      <c r="D345" s="89">
        <f t="shared" ref="D345:G345" si="55">D325+D329+D338+D344</f>
        <v>52.936999999999998</v>
      </c>
      <c r="E345" s="89">
        <f t="shared" si="55"/>
        <v>57.774999999999999</v>
      </c>
      <c r="F345" s="89">
        <f t="shared" si="55"/>
        <v>217.47</v>
      </c>
      <c r="G345" s="89">
        <f t="shared" si="55"/>
        <v>1663.297</v>
      </c>
    </row>
    <row r="346" spans="1:7" s="7" customFormat="1" ht="51" customHeight="1">
      <c r="A346" s="133" t="s">
        <v>135</v>
      </c>
      <c r="B346" s="134"/>
      <c r="C346" s="134"/>
      <c r="D346" s="134"/>
      <c r="E346" s="134"/>
      <c r="F346" s="134"/>
      <c r="G346" s="134"/>
    </row>
    <row r="347" spans="1:7" s="11" customFormat="1" ht="57" customHeight="1">
      <c r="A347" s="126" t="s">
        <v>65</v>
      </c>
      <c r="B347" s="127"/>
      <c r="C347" s="127"/>
      <c r="D347" s="127"/>
      <c r="E347" s="127"/>
      <c r="F347" s="127"/>
      <c r="G347" s="127"/>
    </row>
    <row r="348" spans="1:7" s="13" customFormat="1" ht="53.25" customHeight="1">
      <c r="A348" s="82">
        <v>1</v>
      </c>
      <c r="B348" s="78" t="s">
        <v>62</v>
      </c>
      <c r="C348" s="76">
        <v>80</v>
      </c>
      <c r="D348" s="77">
        <f>13.11*C348/100</f>
        <v>10.488</v>
      </c>
      <c r="E348" s="77">
        <f>25.08*C348/100</f>
        <v>20.064</v>
      </c>
      <c r="F348" s="77">
        <f>1.23*C348/100</f>
        <v>0.9840000000000001</v>
      </c>
      <c r="G348" s="77">
        <f>284.2*C348/100</f>
        <v>227.36</v>
      </c>
    </row>
    <row r="349" spans="1:7" s="7" customFormat="1" ht="56.25" customHeight="1">
      <c r="A349" s="82">
        <v>2</v>
      </c>
      <c r="B349" s="75" t="s">
        <v>14</v>
      </c>
      <c r="C349" s="76">
        <v>200</v>
      </c>
      <c r="D349" s="79">
        <f>0*C349/100</f>
        <v>0</v>
      </c>
      <c r="E349" s="79">
        <f>0*C349/100</f>
        <v>0</v>
      </c>
      <c r="F349" s="79">
        <f>4.99*C349/100</f>
        <v>9.98</v>
      </c>
      <c r="G349" s="79">
        <f>19.95*C349/100</f>
        <v>39.9</v>
      </c>
    </row>
    <row r="350" spans="1:7" s="7" customFormat="1" ht="52.5" customHeight="1">
      <c r="A350" s="82">
        <v>3</v>
      </c>
      <c r="B350" s="75" t="s">
        <v>74</v>
      </c>
      <c r="C350" s="76">
        <v>7</v>
      </c>
      <c r="D350" s="79">
        <f>0.9*C350/100</f>
        <v>6.3E-2</v>
      </c>
      <c r="E350" s="79">
        <f>0.1*C350/100</f>
        <v>7.000000000000001E-3</v>
      </c>
      <c r="F350" s="79">
        <f>3*C350/100</f>
        <v>0.21</v>
      </c>
      <c r="G350" s="79">
        <f>34*C350/100</f>
        <v>2.38</v>
      </c>
    </row>
    <row r="351" spans="1:7" s="7" customFormat="1" ht="60" customHeight="1">
      <c r="A351" s="82">
        <v>4</v>
      </c>
      <c r="B351" s="88" t="s">
        <v>207</v>
      </c>
      <c r="C351" s="76">
        <v>20</v>
      </c>
      <c r="D351" s="79">
        <f>22.6*C351/100</f>
        <v>4.5199999999999996</v>
      </c>
      <c r="E351" s="79">
        <f>20.9*C351/100</f>
        <v>4.18</v>
      </c>
      <c r="F351" s="79">
        <f>0*C351/100</f>
        <v>0</v>
      </c>
      <c r="G351" s="79">
        <f>279*C351/100</f>
        <v>55.8</v>
      </c>
    </row>
    <row r="352" spans="1:7" s="7" customFormat="1" ht="54" customHeight="1">
      <c r="A352" s="82">
        <v>5</v>
      </c>
      <c r="B352" s="75" t="s">
        <v>56</v>
      </c>
      <c r="C352" s="76">
        <v>20</v>
      </c>
      <c r="D352" s="77">
        <f>7.76*C352/100</f>
        <v>1.5519999999999998</v>
      </c>
      <c r="E352" s="77">
        <f>2.65*C352/100</f>
        <v>0.53</v>
      </c>
      <c r="F352" s="77">
        <f>53.25*C352/100</f>
        <v>10.65</v>
      </c>
      <c r="G352" s="77">
        <f>273*C352/100</f>
        <v>54.6</v>
      </c>
    </row>
    <row r="353" spans="1:8" s="7" customFormat="1" ht="83.25" customHeight="1">
      <c r="A353" s="82"/>
      <c r="B353" s="72" t="s">
        <v>3</v>
      </c>
      <c r="C353" s="76"/>
      <c r="D353" s="81">
        <f t="shared" ref="D353:G353" si="56">SUM(D348:D352)</f>
        <v>16.623000000000001</v>
      </c>
      <c r="E353" s="81">
        <f t="shared" si="56"/>
        <v>24.781000000000002</v>
      </c>
      <c r="F353" s="81">
        <f t="shared" si="56"/>
        <v>21.824000000000002</v>
      </c>
      <c r="G353" s="81">
        <f t="shared" si="56"/>
        <v>380.04</v>
      </c>
    </row>
    <row r="354" spans="1:8" s="7" customFormat="1" ht="75" customHeight="1">
      <c r="A354" s="126" t="s">
        <v>64</v>
      </c>
      <c r="B354" s="127"/>
      <c r="C354" s="127"/>
      <c r="D354" s="127"/>
      <c r="E354" s="127"/>
      <c r="F354" s="127"/>
      <c r="G354" s="127"/>
    </row>
    <row r="355" spans="1:8" s="7" customFormat="1" ht="62.25" customHeight="1">
      <c r="A355" s="82">
        <v>1</v>
      </c>
      <c r="B355" s="75" t="s">
        <v>71</v>
      </c>
      <c r="C355" s="83">
        <v>300</v>
      </c>
      <c r="D355" s="84">
        <f>0*C355/100</f>
        <v>0</v>
      </c>
      <c r="E355" s="84">
        <v>0</v>
      </c>
      <c r="F355" s="84">
        <f>0*C355/100</f>
        <v>0</v>
      </c>
      <c r="G355" s="84">
        <f>0*C355/100</f>
        <v>0</v>
      </c>
    </row>
    <row r="356" spans="1:8" s="7" customFormat="1" ht="75" customHeight="1">
      <c r="A356" s="82">
        <v>2</v>
      </c>
      <c r="B356" s="75" t="s">
        <v>171</v>
      </c>
      <c r="C356" s="76">
        <v>80</v>
      </c>
      <c r="D356" s="77">
        <f>0.4*C356/100</f>
        <v>0.32</v>
      </c>
      <c r="E356" s="77">
        <f>0.3*C356/100</f>
        <v>0.24</v>
      </c>
      <c r="F356" s="77">
        <f>10.3*C356/100</f>
        <v>8.24</v>
      </c>
      <c r="G356" s="77">
        <f>47*C356/100</f>
        <v>37.6</v>
      </c>
    </row>
    <row r="357" spans="1:8" ht="71.25" customHeight="1">
      <c r="A357" s="82"/>
      <c r="B357" s="72" t="s">
        <v>3</v>
      </c>
      <c r="C357" s="76"/>
      <c r="D357" s="81">
        <f t="shared" ref="D357:G357" si="57">SUM(D355:D356)</f>
        <v>0.32</v>
      </c>
      <c r="E357" s="81">
        <f t="shared" si="57"/>
        <v>0.24</v>
      </c>
      <c r="F357" s="81">
        <f t="shared" si="57"/>
        <v>8.24</v>
      </c>
      <c r="G357" s="81">
        <f t="shared" si="57"/>
        <v>37.6</v>
      </c>
    </row>
    <row r="358" spans="1:8" s="7" customFormat="1" ht="85.5" customHeight="1">
      <c r="A358" s="126" t="s">
        <v>4</v>
      </c>
      <c r="B358" s="127"/>
      <c r="C358" s="127"/>
      <c r="D358" s="127"/>
      <c r="E358" s="127"/>
      <c r="F358" s="127"/>
      <c r="G358" s="127"/>
    </row>
    <row r="359" spans="1:8" s="7" customFormat="1" ht="61.5">
      <c r="A359" s="82">
        <v>1</v>
      </c>
      <c r="B359" s="101" t="s">
        <v>112</v>
      </c>
      <c r="C359" s="76">
        <v>60</v>
      </c>
      <c r="D359" s="77">
        <f>1.67*C359/100</f>
        <v>1.0019999999999998</v>
      </c>
      <c r="E359" s="77">
        <f>10.1*C359/100</f>
        <v>6.06</v>
      </c>
      <c r="F359" s="77">
        <f>7.09*C359/100</f>
        <v>4.2539999999999996</v>
      </c>
      <c r="G359" s="77">
        <f>126.48*C359/100</f>
        <v>75.888000000000005</v>
      </c>
    </row>
    <row r="360" spans="1:8" s="7" customFormat="1" ht="61.5">
      <c r="A360" s="82">
        <v>2</v>
      </c>
      <c r="B360" s="102" t="s">
        <v>113</v>
      </c>
      <c r="C360" s="76">
        <v>200</v>
      </c>
      <c r="D360" s="77">
        <f>1.62*C360/100</f>
        <v>3.24</v>
      </c>
      <c r="E360" s="77">
        <f>3.65*C360/100</f>
        <v>7.3</v>
      </c>
      <c r="F360" s="77">
        <f>5.76*C360/100</f>
        <v>11.52</v>
      </c>
      <c r="G360" s="77">
        <f>61.91*C360/100</f>
        <v>123.82</v>
      </c>
    </row>
    <row r="361" spans="1:8" s="7" customFormat="1" ht="66" customHeight="1">
      <c r="A361" s="82">
        <v>3</v>
      </c>
      <c r="B361" s="75" t="s">
        <v>76</v>
      </c>
      <c r="C361" s="76">
        <v>70</v>
      </c>
      <c r="D361" s="77">
        <f>13.38*C361/100</f>
        <v>9.3659999999999997</v>
      </c>
      <c r="E361" s="77">
        <f>12.46*C361/100</f>
        <v>8.7220000000000013</v>
      </c>
      <c r="F361" s="77">
        <f>3.41*C361/100</f>
        <v>2.387</v>
      </c>
      <c r="G361" s="77">
        <f>161.58*C361/100</f>
        <v>113.10600000000001</v>
      </c>
      <c r="H361" s="19"/>
    </row>
    <row r="362" spans="1:8" s="7" customFormat="1" ht="73.5" customHeight="1">
      <c r="A362" s="82">
        <v>4</v>
      </c>
      <c r="B362" s="75" t="s">
        <v>84</v>
      </c>
      <c r="C362" s="83">
        <v>150</v>
      </c>
      <c r="D362" s="79">
        <f>2.62*C362/100</f>
        <v>3.93</v>
      </c>
      <c r="E362" s="79">
        <f>8.66*C362/100</f>
        <v>12.99</v>
      </c>
      <c r="F362" s="79">
        <f>6.76*C362/100</f>
        <v>10.14</v>
      </c>
      <c r="G362" s="79">
        <f>120.33*C362/100</f>
        <v>180.495</v>
      </c>
    </row>
    <row r="363" spans="1:8" s="7" customFormat="1" ht="72" customHeight="1">
      <c r="A363" s="82">
        <v>5</v>
      </c>
      <c r="B363" s="88" t="s">
        <v>208</v>
      </c>
      <c r="C363" s="76">
        <v>200</v>
      </c>
      <c r="D363" s="77">
        <f>0.08*C363/100</f>
        <v>0.16</v>
      </c>
      <c r="E363" s="77">
        <f>0.08*C363/100</f>
        <v>0.16</v>
      </c>
      <c r="F363" s="77">
        <f>7.9*C363/100</f>
        <v>15.8</v>
      </c>
      <c r="G363" s="77">
        <f>23.36*C363/100</f>
        <v>46.72</v>
      </c>
    </row>
    <row r="364" spans="1:8" s="13" customFormat="1" ht="66" customHeight="1">
      <c r="A364" s="82">
        <v>6</v>
      </c>
      <c r="B364" s="75" t="s">
        <v>56</v>
      </c>
      <c r="C364" s="76">
        <v>20</v>
      </c>
      <c r="D364" s="77">
        <f>7.76*C364/100</f>
        <v>1.5519999999999998</v>
      </c>
      <c r="E364" s="77">
        <f>2.65*C364/100</f>
        <v>0.53</v>
      </c>
      <c r="F364" s="77">
        <f>53.25*C364/100</f>
        <v>10.65</v>
      </c>
      <c r="G364" s="77">
        <f>273*C364/100</f>
        <v>54.6</v>
      </c>
    </row>
    <row r="365" spans="1:8" s="13" customFormat="1" ht="56.25" customHeight="1">
      <c r="A365" s="82">
        <v>7</v>
      </c>
      <c r="B365" s="75" t="s">
        <v>55</v>
      </c>
      <c r="C365" s="76">
        <v>20</v>
      </c>
      <c r="D365" s="77">
        <f>5.86*C365/100</f>
        <v>1.1719999999999999</v>
      </c>
      <c r="E365" s="77">
        <f>0.94*C365/100</f>
        <v>0.18799999999999997</v>
      </c>
      <c r="F365" s="77">
        <f>44.4*C365/100</f>
        <v>8.8800000000000008</v>
      </c>
      <c r="G365" s="77">
        <f>189*C365/100</f>
        <v>37.799999999999997</v>
      </c>
    </row>
    <row r="366" spans="1:8" s="13" customFormat="1" ht="78" customHeight="1">
      <c r="A366" s="82"/>
      <c r="B366" s="72" t="s">
        <v>3</v>
      </c>
      <c r="C366" s="80"/>
      <c r="D366" s="89">
        <f t="shared" ref="D366:G366" si="58">SUM(D359:D365)</f>
        <v>20.422000000000001</v>
      </c>
      <c r="E366" s="89">
        <f t="shared" si="58"/>
        <v>35.950000000000003</v>
      </c>
      <c r="F366" s="89">
        <f t="shared" si="58"/>
        <v>63.631</v>
      </c>
      <c r="G366" s="89">
        <f t="shared" si="58"/>
        <v>632.42899999999997</v>
      </c>
    </row>
    <row r="367" spans="1:8" s="13" customFormat="1" ht="76.5" customHeight="1">
      <c r="A367" s="126" t="s">
        <v>15</v>
      </c>
      <c r="B367" s="127"/>
      <c r="C367" s="127"/>
      <c r="D367" s="127"/>
      <c r="E367" s="127"/>
      <c r="F367" s="127"/>
      <c r="G367" s="127"/>
    </row>
    <row r="368" spans="1:8" s="46" customFormat="1" ht="66" customHeight="1">
      <c r="A368" s="82">
        <v>1</v>
      </c>
      <c r="B368" s="75" t="s">
        <v>119</v>
      </c>
      <c r="C368" s="76">
        <v>70</v>
      </c>
      <c r="D368" s="77">
        <f>14.05*C368/100</f>
        <v>9.8350000000000009</v>
      </c>
      <c r="E368" s="77">
        <f>10.43*C368/100</f>
        <v>7.3010000000000002</v>
      </c>
      <c r="F368" s="77">
        <f>7.22*C368/100</f>
        <v>5.0539999999999994</v>
      </c>
      <c r="G368" s="77">
        <f>181.62*C368/100</f>
        <v>127.134</v>
      </c>
    </row>
    <row r="369" spans="1:7" s="7" customFormat="1" ht="72" customHeight="1">
      <c r="A369" s="82">
        <v>2</v>
      </c>
      <c r="B369" s="78" t="s">
        <v>51</v>
      </c>
      <c r="C369" s="76">
        <v>150</v>
      </c>
      <c r="D369" s="77">
        <f>1.73*C369/100</f>
        <v>2.5950000000000002</v>
      </c>
      <c r="E369" s="77">
        <f>4.63*C369/100</f>
        <v>6.9450000000000003</v>
      </c>
      <c r="F369" s="77">
        <f>7.49*C369/100</f>
        <v>11.234999999999999</v>
      </c>
      <c r="G369" s="77">
        <f>85.49*C369/100</f>
        <v>128.23500000000001</v>
      </c>
    </row>
    <row r="370" spans="1:7" s="40" customFormat="1" ht="54" customHeight="1">
      <c r="A370" s="82">
        <v>3</v>
      </c>
      <c r="B370" s="75" t="s">
        <v>143</v>
      </c>
      <c r="C370" s="76">
        <v>200</v>
      </c>
      <c r="D370" s="83">
        <f>2.8*C370/100</f>
        <v>5.6</v>
      </c>
      <c r="E370" s="84">
        <f>2.9*C370/100</f>
        <v>5.8</v>
      </c>
      <c r="F370" s="84">
        <f>10.5*C370/100</f>
        <v>21</v>
      </c>
      <c r="G370" s="84">
        <f>79.3*C370/100</f>
        <v>158.6</v>
      </c>
    </row>
    <row r="371" spans="1:7" s="40" customFormat="1" ht="61.5" customHeight="1">
      <c r="A371" s="82">
        <v>4</v>
      </c>
      <c r="B371" s="75" t="s">
        <v>56</v>
      </c>
      <c r="C371" s="76">
        <v>20</v>
      </c>
      <c r="D371" s="77">
        <f>7.76*C371/100</f>
        <v>1.5519999999999998</v>
      </c>
      <c r="E371" s="77">
        <f>2.65*C371/100</f>
        <v>0.53</v>
      </c>
      <c r="F371" s="77">
        <f>53.25*C371/100</f>
        <v>10.65</v>
      </c>
      <c r="G371" s="77">
        <f>273*C371/100</f>
        <v>54.6</v>
      </c>
    </row>
    <row r="372" spans="1:7" s="7" customFormat="1" ht="81" customHeight="1">
      <c r="A372" s="82"/>
      <c r="B372" s="72" t="s">
        <v>3</v>
      </c>
      <c r="C372" s="76"/>
      <c r="D372" s="89">
        <f>SUM(D368:D371)</f>
        <v>19.582000000000001</v>
      </c>
      <c r="E372" s="89">
        <f t="shared" ref="E372:G372" si="59">SUM(E368:E371)</f>
        <v>20.576000000000001</v>
      </c>
      <c r="F372" s="89">
        <f t="shared" si="59"/>
        <v>47.939</v>
      </c>
      <c r="G372" s="89">
        <f t="shared" si="59"/>
        <v>468.56900000000007</v>
      </c>
    </row>
    <row r="373" spans="1:7" s="7" customFormat="1" ht="119.25" customHeight="1">
      <c r="A373" s="82"/>
      <c r="B373" s="72" t="s">
        <v>6</v>
      </c>
      <c r="C373" s="80"/>
      <c r="D373" s="89">
        <f t="shared" ref="D373:G373" si="60">D353+D366+D357+D372</f>
        <v>56.947000000000003</v>
      </c>
      <c r="E373" s="89">
        <f t="shared" si="60"/>
        <v>81.547000000000011</v>
      </c>
      <c r="F373" s="89">
        <f t="shared" si="60"/>
        <v>141.63399999999999</v>
      </c>
      <c r="G373" s="89">
        <f t="shared" si="60"/>
        <v>1518.6379999999999</v>
      </c>
    </row>
    <row r="374" spans="1:7" s="13" customFormat="1" ht="33">
      <c r="A374" s="133" t="s">
        <v>136</v>
      </c>
      <c r="B374" s="134"/>
      <c r="C374" s="134"/>
      <c r="D374" s="134"/>
      <c r="E374" s="134"/>
      <c r="F374" s="134"/>
      <c r="G374" s="134"/>
    </row>
    <row r="375" spans="1:7" s="13" customFormat="1" ht="71.25" customHeight="1">
      <c r="A375" s="126" t="s">
        <v>65</v>
      </c>
      <c r="B375" s="127"/>
      <c r="C375" s="127"/>
      <c r="D375" s="127"/>
      <c r="E375" s="127"/>
      <c r="F375" s="127"/>
      <c r="G375" s="127"/>
    </row>
    <row r="376" spans="1:7" s="13" customFormat="1" ht="56.25" customHeight="1">
      <c r="A376" s="82">
        <v>1</v>
      </c>
      <c r="B376" s="78" t="s">
        <v>114</v>
      </c>
      <c r="C376" s="76">
        <v>80</v>
      </c>
      <c r="D376" s="79">
        <f>16.3*C376/100</f>
        <v>13.04</v>
      </c>
      <c r="E376" s="79">
        <f>9.87*C376/100</f>
        <v>7.895999999999999</v>
      </c>
      <c r="F376" s="79">
        <f>19.78*C376/100</f>
        <v>15.824000000000002</v>
      </c>
      <c r="G376" s="79">
        <f>243.38*C376/100</f>
        <v>194.70400000000001</v>
      </c>
    </row>
    <row r="377" spans="1:7" s="13" customFormat="1" ht="69.75" customHeight="1">
      <c r="A377" s="82">
        <v>2</v>
      </c>
      <c r="B377" s="78" t="s">
        <v>209</v>
      </c>
      <c r="C377" s="76">
        <v>20</v>
      </c>
      <c r="D377" s="77">
        <f>7.1*C377/100</f>
        <v>1.42</v>
      </c>
      <c r="E377" s="77">
        <f>5*C377/100</f>
        <v>1</v>
      </c>
      <c r="F377" s="77">
        <f>55.2*C377/100</f>
        <v>11.04</v>
      </c>
      <c r="G377" s="77">
        <f>295*C377/100</f>
        <v>59</v>
      </c>
    </row>
    <row r="378" spans="1:7" s="13" customFormat="1" ht="61.5" customHeight="1">
      <c r="A378" s="82">
        <v>3</v>
      </c>
      <c r="B378" s="78" t="s">
        <v>210</v>
      </c>
      <c r="C378" s="76">
        <v>200</v>
      </c>
      <c r="D378" s="79">
        <f>0.75*C378/100</f>
        <v>1.5</v>
      </c>
      <c r="E378" s="79">
        <f>0.8*C378/100</f>
        <v>1.6</v>
      </c>
      <c r="F378" s="79">
        <f>6.16*C378/100</f>
        <v>12.32</v>
      </c>
      <c r="G378" s="77">
        <f>34.95*C378/100</f>
        <v>69.900000000000006</v>
      </c>
    </row>
    <row r="379" spans="1:7" s="14" customFormat="1" ht="51.75" customHeight="1">
      <c r="A379" s="82">
        <v>4</v>
      </c>
      <c r="B379" s="75" t="s">
        <v>211</v>
      </c>
      <c r="C379" s="76">
        <v>10</v>
      </c>
      <c r="D379" s="79">
        <f>0.5*C379/100</f>
        <v>0.05</v>
      </c>
      <c r="E379" s="79">
        <f>82.5*C379/100</f>
        <v>8.25</v>
      </c>
      <c r="F379" s="79">
        <f>0.8*C379/100</f>
        <v>0.08</v>
      </c>
      <c r="G379" s="79">
        <f>748*C379/100</f>
        <v>74.8</v>
      </c>
    </row>
    <row r="380" spans="1:7" s="16" customFormat="1" ht="66" customHeight="1">
      <c r="A380" s="82">
        <v>5</v>
      </c>
      <c r="B380" s="75" t="s">
        <v>56</v>
      </c>
      <c r="C380" s="76">
        <v>20</v>
      </c>
      <c r="D380" s="77">
        <f>7.76*C380/100</f>
        <v>1.5519999999999998</v>
      </c>
      <c r="E380" s="77">
        <f>2.65*C380/100</f>
        <v>0.53</v>
      </c>
      <c r="F380" s="77">
        <f>53.25*C380/100</f>
        <v>10.65</v>
      </c>
      <c r="G380" s="77">
        <f>273*C380/100</f>
        <v>54.6</v>
      </c>
    </row>
    <row r="381" spans="1:7" s="7" customFormat="1" ht="78" customHeight="1">
      <c r="A381" s="82"/>
      <c r="B381" s="72" t="s">
        <v>3</v>
      </c>
      <c r="C381" s="80"/>
      <c r="D381" s="81">
        <f t="shared" ref="D381:G381" si="61">SUM(D376:D380)</f>
        <v>17.561999999999998</v>
      </c>
      <c r="E381" s="81">
        <f t="shared" si="61"/>
        <v>19.276</v>
      </c>
      <c r="F381" s="81">
        <f t="shared" si="61"/>
        <v>49.913999999999994</v>
      </c>
      <c r="G381" s="81">
        <f t="shared" si="61"/>
        <v>453.00400000000008</v>
      </c>
    </row>
    <row r="382" spans="1:7" s="7" customFormat="1" ht="83.25" customHeight="1">
      <c r="A382" s="126" t="s">
        <v>64</v>
      </c>
      <c r="B382" s="127"/>
      <c r="C382" s="127"/>
      <c r="D382" s="127"/>
      <c r="E382" s="127"/>
      <c r="F382" s="127"/>
      <c r="G382" s="127"/>
    </row>
    <row r="383" spans="1:7" s="13" customFormat="1" ht="56.25" customHeight="1">
      <c r="A383" s="82">
        <v>1</v>
      </c>
      <c r="B383" s="75" t="s">
        <v>71</v>
      </c>
      <c r="C383" s="83">
        <v>300</v>
      </c>
      <c r="D383" s="84">
        <f>0*C383/100</f>
        <v>0</v>
      </c>
      <c r="E383" s="84">
        <v>0</v>
      </c>
      <c r="F383" s="84">
        <f>0*C383/100</f>
        <v>0</v>
      </c>
      <c r="G383" s="84">
        <f>0*C383/100</f>
        <v>0</v>
      </c>
    </row>
    <row r="384" spans="1:7" s="13" customFormat="1" ht="51.75" customHeight="1">
      <c r="A384" s="82">
        <v>2</v>
      </c>
      <c r="B384" s="75" t="s">
        <v>166</v>
      </c>
      <c r="C384" s="76">
        <v>80</v>
      </c>
      <c r="D384" s="84">
        <f>1.5*C384/100</f>
        <v>1.2</v>
      </c>
      <c r="E384" s="84">
        <f>0.5*C384/100</f>
        <v>0.4</v>
      </c>
      <c r="F384" s="84">
        <f>21*C384/100</f>
        <v>16.8</v>
      </c>
      <c r="G384" s="84">
        <f>96*C384/100</f>
        <v>76.8</v>
      </c>
    </row>
    <row r="385" spans="1:8" s="7" customFormat="1" ht="77.25" customHeight="1">
      <c r="A385" s="82"/>
      <c r="B385" s="72" t="s">
        <v>3</v>
      </c>
      <c r="C385" s="80"/>
      <c r="D385" s="81">
        <f t="shared" ref="D385:G385" si="62">SUM(D383:D384)</f>
        <v>1.2</v>
      </c>
      <c r="E385" s="81">
        <f t="shared" si="62"/>
        <v>0.4</v>
      </c>
      <c r="F385" s="81">
        <f t="shared" si="62"/>
        <v>16.8</v>
      </c>
      <c r="G385" s="81">
        <f t="shared" si="62"/>
        <v>76.8</v>
      </c>
      <c r="H385" s="19"/>
    </row>
    <row r="386" spans="1:8" s="7" customFormat="1" ht="81.75" customHeight="1">
      <c r="A386" s="126" t="s">
        <v>4</v>
      </c>
      <c r="B386" s="127"/>
      <c r="C386" s="127"/>
      <c r="D386" s="127"/>
      <c r="E386" s="127"/>
      <c r="F386" s="127"/>
      <c r="G386" s="127"/>
      <c r="H386" s="19"/>
    </row>
    <row r="387" spans="1:8" s="7" customFormat="1" ht="82.5" customHeight="1">
      <c r="A387" s="82">
        <v>1</v>
      </c>
      <c r="B387" s="93" t="s">
        <v>154</v>
      </c>
      <c r="C387" s="96">
        <v>60</v>
      </c>
      <c r="D387" s="77">
        <f>1.12*C387/100</f>
        <v>0.67200000000000004</v>
      </c>
      <c r="E387" s="77">
        <f>7.19*C387/100</f>
        <v>4.3140000000000001</v>
      </c>
      <c r="F387" s="77">
        <f>4.42*C387/100</f>
        <v>2.6519999999999997</v>
      </c>
      <c r="G387" s="77">
        <f>89.02*C387/100</f>
        <v>53.411999999999999</v>
      </c>
      <c r="H387" s="19"/>
    </row>
    <row r="388" spans="1:8" s="7" customFormat="1" ht="76.5" customHeight="1">
      <c r="A388" s="82">
        <v>2</v>
      </c>
      <c r="B388" s="88" t="s">
        <v>153</v>
      </c>
      <c r="C388" s="76">
        <v>200</v>
      </c>
      <c r="D388" s="77">
        <f>1.86*C388/100</f>
        <v>3.72</v>
      </c>
      <c r="E388" s="77">
        <f>4.07*C388/100</f>
        <v>8.14</v>
      </c>
      <c r="F388" s="77">
        <f>4.34*C388/100</f>
        <v>8.68</v>
      </c>
      <c r="G388" s="77">
        <f>72.95*C388/100</f>
        <v>145.9</v>
      </c>
      <c r="H388" s="19"/>
    </row>
    <row r="389" spans="1:8" s="7" customFormat="1" ht="76.5" customHeight="1">
      <c r="A389" s="82">
        <v>3</v>
      </c>
      <c r="B389" s="88" t="s">
        <v>212</v>
      </c>
      <c r="C389" s="76">
        <v>70</v>
      </c>
      <c r="D389" s="77">
        <f>17.02*C389/100</f>
        <v>11.913999999999998</v>
      </c>
      <c r="E389" s="77">
        <f>9.49*C389/100</f>
        <v>6.6430000000000007</v>
      </c>
      <c r="F389" s="77">
        <f>4.84*C389/100</f>
        <v>3.3879999999999999</v>
      </c>
      <c r="G389" s="77">
        <f>175.82*C389/100</f>
        <v>123.074</v>
      </c>
      <c r="H389" s="19"/>
    </row>
    <row r="390" spans="1:8" s="7" customFormat="1" ht="60.75" customHeight="1">
      <c r="A390" s="82">
        <v>4</v>
      </c>
      <c r="B390" s="75" t="s">
        <v>45</v>
      </c>
      <c r="C390" s="76">
        <v>150</v>
      </c>
      <c r="D390" s="77">
        <f>5.58*C390/100</f>
        <v>8.3699999999999992</v>
      </c>
      <c r="E390" s="77">
        <f>5.61*C390/100</f>
        <v>8.4149999999999991</v>
      </c>
      <c r="F390" s="77">
        <f>24.71*C390/100</f>
        <v>37.064999999999998</v>
      </c>
      <c r="G390" s="77">
        <f>172.48*C390/100</f>
        <v>258.72000000000003</v>
      </c>
      <c r="H390" s="19"/>
    </row>
    <row r="391" spans="1:8" s="7" customFormat="1" ht="48.75" customHeight="1">
      <c r="A391" s="82">
        <v>5</v>
      </c>
      <c r="B391" s="78" t="s">
        <v>98</v>
      </c>
      <c r="C391" s="76">
        <v>200</v>
      </c>
      <c r="D391" s="77">
        <f>0.28*C391/100</f>
        <v>0.56000000000000005</v>
      </c>
      <c r="E391" s="77">
        <f>0.06*C391/100</f>
        <v>0.12</v>
      </c>
      <c r="F391" s="77">
        <f>13.84*C391/100</f>
        <v>27.68</v>
      </c>
      <c r="G391" s="77">
        <f>47.69*C391/100</f>
        <v>95.38</v>
      </c>
      <c r="H391" s="19"/>
    </row>
    <row r="392" spans="1:8" s="7" customFormat="1" ht="60" customHeight="1">
      <c r="A392" s="82">
        <v>6</v>
      </c>
      <c r="B392" s="75" t="s">
        <v>56</v>
      </c>
      <c r="C392" s="76">
        <v>20</v>
      </c>
      <c r="D392" s="77">
        <f>7.76*C392/100</f>
        <v>1.5519999999999998</v>
      </c>
      <c r="E392" s="77">
        <f>2.65*C392/100</f>
        <v>0.53</v>
      </c>
      <c r="F392" s="77">
        <f>53.25*C392/100</f>
        <v>10.65</v>
      </c>
      <c r="G392" s="77">
        <f>273*C392/100</f>
        <v>54.6</v>
      </c>
      <c r="H392" s="19"/>
    </row>
    <row r="393" spans="1:8" s="7" customFormat="1" ht="63" customHeight="1">
      <c r="A393" s="82">
        <v>7</v>
      </c>
      <c r="B393" s="75" t="s">
        <v>55</v>
      </c>
      <c r="C393" s="76">
        <v>20</v>
      </c>
      <c r="D393" s="77">
        <f>5.86*C393/100</f>
        <v>1.1719999999999999</v>
      </c>
      <c r="E393" s="77">
        <f>0.94*C393/100</f>
        <v>0.18799999999999997</v>
      </c>
      <c r="F393" s="77">
        <f>44.4*C393/100</f>
        <v>8.8800000000000008</v>
      </c>
      <c r="G393" s="77">
        <f>189*C393/100</f>
        <v>37.799999999999997</v>
      </c>
    </row>
    <row r="394" spans="1:8" s="7" customFormat="1" ht="76.5" customHeight="1">
      <c r="A394" s="82"/>
      <c r="B394" s="72" t="s">
        <v>3</v>
      </c>
      <c r="C394" s="80"/>
      <c r="D394" s="89">
        <f t="shared" ref="D394:G394" si="63">SUM(D387:D393)</f>
        <v>27.959999999999994</v>
      </c>
      <c r="E394" s="89">
        <f t="shared" si="63"/>
        <v>28.35</v>
      </c>
      <c r="F394" s="89">
        <f t="shared" si="63"/>
        <v>98.995000000000005</v>
      </c>
      <c r="G394" s="89">
        <f t="shared" si="63"/>
        <v>768.88599999999997</v>
      </c>
      <c r="H394" s="19"/>
    </row>
    <row r="395" spans="1:8" s="7" customFormat="1" ht="79.5" customHeight="1">
      <c r="A395" s="126" t="s">
        <v>15</v>
      </c>
      <c r="B395" s="127"/>
      <c r="C395" s="127"/>
      <c r="D395" s="127"/>
      <c r="E395" s="127"/>
      <c r="F395" s="127"/>
      <c r="G395" s="127"/>
      <c r="H395" s="19"/>
    </row>
    <row r="396" spans="1:8" s="7" customFormat="1" ht="66" customHeight="1">
      <c r="A396" s="82">
        <v>1</v>
      </c>
      <c r="B396" s="75" t="s">
        <v>116</v>
      </c>
      <c r="C396" s="76">
        <v>80</v>
      </c>
      <c r="D396" s="79">
        <f>5.05*C396/100</f>
        <v>4.04</v>
      </c>
      <c r="E396" s="79">
        <f>6.61*C396/100</f>
        <v>5.2880000000000003</v>
      </c>
      <c r="F396" s="79">
        <f>26.77*C396/100</f>
        <v>21.416</v>
      </c>
      <c r="G396" s="79">
        <f>201.32*C396/100</f>
        <v>161.05599999999998</v>
      </c>
    </row>
    <row r="397" spans="1:8" s="7" customFormat="1" ht="67.5" customHeight="1">
      <c r="A397" s="82">
        <v>2</v>
      </c>
      <c r="B397" s="75" t="s">
        <v>145</v>
      </c>
      <c r="C397" s="76">
        <v>20</v>
      </c>
      <c r="D397" s="79">
        <f>3.16*C397/100</f>
        <v>0.63200000000000001</v>
      </c>
      <c r="E397" s="79">
        <f>19.19*C397/100</f>
        <v>3.8380000000000001</v>
      </c>
      <c r="F397" s="79">
        <f>7.09*C397/100</f>
        <v>1.4180000000000001</v>
      </c>
      <c r="G397" s="79">
        <f>215.9*C397/100</f>
        <v>43.18</v>
      </c>
    </row>
    <row r="398" spans="1:8" s="14" customFormat="1" ht="72.75" customHeight="1">
      <c r="A398" s="82">
        <v>3</v>
      </c>
      <c r="B398" s="75" t="s">
        <v>117</v>
      </c>
      <c r="C398" s="76">
        <v>60</v>
      </c>
      <c r="D398" s="79">
        <f>0.8*C398/100</f>
        <v>0.48</v>
      </c>
      <c r="E398" s="79">
        <f>0.1*C398/100</f>
        <v>0.06</v>
      </c>
      <c r="F398" s="79">
        <f>2.6*C398/100</f>
        <v>1.56</v>
      </c>
      <c r="G398" s="79">
        <f>14*C398/100</f>
        <v>8.4</v>
      </c>
    </row>
    <row r="399" spans="1:8" s="11" customFormat="1" ht="55.5" customHeight="1">
      <c r="A399" s="82">
        <v>4</v>
      </c>
      <c r="B399" s="97" t="s">
        <v>193</v>
      </c>
      <c r="C399" s="76">
        <v>200</v>
      </c>
      <c r="D399" s="79">
        <f>2.8*C399/100</f>
        <v>5.6</v>
      </c>
      <c r="E399" s="79">
        <f>3.2*C399/100</f>
        <v>6.4</v>
      </c>
      <c r="F399" s="79">
        <f>4.1*C399/100</f>
        <v>8.1999999999999993</v>
      </c>
      <c r="G399" s="79">
        <f>56*C399/100</f>
        <v>112</v>
      </c>
    </row>
    <row r="400" spans="1:8" s="13" customFormat="1" ht="64.5" customHeight="1">
      <c r="A400" s="82">
        <v>5</v>
      </c>
      <c r="B400" s="75" t="s">
        <v>56</v>
      </c>
      <c r="C400" s="76">
        <v>20</v>
      </c>
      <c r="D400" s="77">
        <f>7.76*C400/100</f>
        <v>1.5519999999999998</v>
      </c>
      <c r="E400" s="77">
        <f>2.65*C400/100</f>
        <v>0.53</v>
      </c>
      <c r="F400" s="77">
        <f>53.25*C400/100</f>
        <v>10.65</v>
      </c>
      <c r="G400" s="77">
        <f>273*C400/100</f>
        <v>54.6</v>
      </c>
    </row>
    <row r="401" spans="1:7" s="13" customFormat="1" ht="64.5" customHeight="1">
      <c r="A401" s="82"/>
      <c r="B401" s="72" t="s">
        <v>3</v>
      </c>
      <c r="C401" s="76"/>
      <c r="D401" s="89">
        <f t="shared" ref="D401:G401" si="64">SUM(D396:D400)</f>
        <v>12.303999999999998</v>
      </c>
      <c r="E401" s="89">
        <f t="shared" si="64"/>
        <v>16.116000000000003</v>
      </c>
      <c r="F401" s="89">
        <f t="shared" si="64"/>
        <v>43.243999999999993</v>
      </c>
      <c r="G401" s="89">
        <f t="shared" si="64"/>
        <v>379.23599999999999</v>
      </c>
    </row>
    <row r="402" spans="1:7" s="7" customFormat="1" ht="45" customHeight="1">
      <c r="A402" s="82"/>
      <c r="B402" s="72" t="s">
        <v>6</v>
      </c>
      <c r="C402" s="80"/>
      <c r="D402" s="89">
        <f t="shared" ref="D402:G402" si="65">D381+D394+D385+D401</f>
        <v>59.025999999999996</v>
      </c>
      <c r="E402" s="89">
        <f t="shared" si="65"/>
        <v>64.14200000000001</v>
      </c>
      <c r="F402" s="89">
        <f t="shared" si="65"/>
        <v>208.953</v>
      </c>
      <c r="G402" s="89">
        <f t="shared" si="65"/>
        <v>1677.9259999999999</v>
      </c>
    </row>
    <row r="403" spans="1:7" s="7" customFormat="1" ht="45" customHeight="1">
      <c r="A403" s="133" t="s">
        <v>137</v>
      </c>
      <c r="B403" s="134"/>
      <c r="C403" s="134"/>
      <c r="D403" s="134"/>
      <c r="E403" s="134"/>
      <c r="F403" s="134"/>
      <c r="G403" s="134"/>
    </row>
    <row r="404" spans="1:7" s="11" customFormat="1" ht="50.25" customHeight="1">
      <c r="A404" s="126" t="s">
        <v>65</v>
      </c>
      <c r="B404" s="127"/>
      <c r="C404" s="127"/>
      <c r="D404" s="127"/>
      <c r="E404" s="127"/>
      <c r="F404" s="127"/>
      <c r="G404" s="127"/>
    </row>
    <row r="405" spans="1:7" s="45" customFormat="1" ht="69.75" customHeight="1">
      <c r="A405" s="82">
        <v>1</v>
      </c>
      <c r="B405" s="88" t="s">
        <v>162</v>
      </c>
      <c r="C405" s="76">
        <v>200</v>
      </c>
      <c r="D405" s="77">
        <f>3.16*C405/100</f>
        <v>6.32</v>
      </c>
      <c r="E405" s="77">
        <f>5.09*C405/100</f>
        <v>10.18</v>
      </c>
      <c r="F405" s="77">
        <f>13.3*C405/100</f>
        <v>26.6</v>
      </c>
      <c r="G405" s="77">
        <f>112.03*C405/100</f>
        <v>224.06</v>
      </c>
    </row>
    <row r="406" spans="1:7" s="7" customFormat="1" ht="60.75" customHeight="1">
      <c r="A406" s="82">
        <v>2</v>
      </c>
      <c r="B406" s="103" t="s">
        <v>107</v>
      </c>
      <c r="C406" s="76">
        <v>200</v>
      </c>
      <c r="D406" s="79">
        <f>1.69*C406/100</f>
        <v>3.38</v>
      </c>
      <c r="E406" s="79">
        <f>1.72*C406/100</f>
        <v>3.44</v>
      </c>
      <c r="F406" s="79">
        <f>7.42*C406/100</f>
        <v>14.84</v>
      </c>
      <c r="G406" s="77">
        <f>52.26*C406/100</f>
        <v>104.52</v>
      </c>
    </row>
    <row r="407" spans="1:7" s="7" customFormat="1" ht="57.75" customHeight="1">
      <c r="A407" s="82">
        <v>3</v>
      </c>
      <c r="B407" s="75" t="s">
        <v>175</v>
      </c>
      <c r="C407" s="76">
        <v>10</v>
      </c>
      <c r="D407" s="79">
        <f>26*C407/100</f>
        <v>2.6</v>
      </c>
      <c r="E407" s="79">
        <f>26.1*C407/100</f>
        <v>2.61</v>
      </c>
      <c r="F407" s="79">
        <f>0*C407/100</f>
        <v>0</v>
      </c>
      <c r="G407" s="77">
        <f>344*C407/100</f>
        <v>34.4</v>
      </c>
    </row>
    <row r="408" spans="1:7" s="13" customFormat="1" ht="75.75" customHeight="1">
      <c r="A408" s="82">
        <v>4</v>
      </c>
      <c r="B408" s="85" t="s">
        <v>56</v>
      </c>
      <c r="C408" s="76">
        <v>20</v>
      </c>
      <c r="D408" s="77">
        <f>7.76*C408/100</f>
        <v>1.5519999999999998</v>
      </c>
      <c r="E408" s="77">
        <f>2.65*C408/100</f>
        <v>0.53</v>
      </c>
      <c r="F408" s="77">
        <f>53.25*C408/100</f>
        <v>10.65</v>
      </c>
      <c r="G408" s="77">
        <f>273*C408/100</f>
        <v>54.6</v>
      </c>
    </row>
    <row r="409" spans="1:7" s="46" customFormat="1" ht="76.5" customHeight="1">
      <c r="A409" s="95"/>
      <c r="B409" s="72" t="s">
        <v>3</v>
      </c>
      <c r="C409" s="80"/>
      <c r="D409" s="81">
        <f t="shared" ref="D409:G409" si="66">SUM(D405)+SUM(D406:D408)</f>
        <v>13.852</v>
      </c>
      <c r="E409" s="81">
        <f t="shared" si="66"/>
        <v>16.759999999999998</v>
      </c>
      <c r="F409" s="81">
        <f t="shared" si="66"/>
        <v>52.09</v>
      </c>
      <c r="G409" s="81">
        <f t="shared" si="66"/>
        <v>417.58</v>
      </c>
    </row>
    <row r="410" spans="1:7" s="13" customFormat="1" ht="85.5" customHeight="1">
      <c r="A410" s="126" t="s">
        <v>64</v>
      </c>
      <c r="B410" s="127"/>
      <c r="C410" s="127"/>
      <c r="D410" s="127"/>
      <c r="E410" s="127"/>
      <c r="F410" s="127"/>
      <c r="G410" s="127"/>
    </row>
    <row r="411" spans="1:7" s="13" customFormat="1" ht="61.5" customHeight="1">
      <c r="A411" s="82">
        <v>1</v>
      </c>
      <c r="B411" s="75" t="s">
        <v>71</v>
      </c>
      <c r="C411" s="83">
        <v>300</v>
      </c>
      <c r="D411" s="84">
        <f>0*C411/100</f>
        <v>0</v>
      </c>
      <c r="E411" s="84">
        <v>0</v>
      </c>
      <c r="F411" s="84">
        <f>0*C411/100</f>
        <v>0</v>
      </c>
      <c r="G411" s="84">
        <f>0*C411/100</f>
        <v>0</v>
      </c>
    </row>
    <row r="412" spans="1:7" s="49" customFormat="1" ht="30.75">
      <c r="A412" s="82">
        <v>2</v>
      </c>
      <c r="B412" s="75" t="s">
        <v>166</v>
      </c>
      <c r="C412" s="76">
        <v>80</v>
      </c>
      <c r="D412" s="84">
        <f>0.4*C412/100</f>
        <v>0.32</v>
      </c>
      <c r="E412" s="84">
        <f>0.4*C412/100</f>
        <v>0.32</v>
      </c>
      <c r="F412" s="84">
        <f>9.8*C412/100</f>
        <v>7.84</v>
      </c>
      <c r="G412" s="84">
        <f>47*C412/100</f>
        <v>37.6</v>
      </c>
    </row>
    <row r="413" spans="1:7" s="13" customFormat="1" ht="79.5" customHeight="1">
      <c r="A413" s="82"/>
      <c r="B413" s="72" t="s">
        <v>3</v>
      </c>
      <c r="C413" s="80"/>
      <c r="D413" s="81">
        <f t="shared" ref="D413:G413" si="67">SUM(D411:D412)</f>
        <v>0.32</v>
      </c>
      <c r="E413" s="81">
        <f t="shared" si="67"/>
        <v>0.32</v>
      </c>
      <c r="F413" s="81">
        <f t="shared" si="67"/>
        <v>7.84</v>
      </c>
      <c r="G413" s="81">
        <f t="shared" si="67"/>
        <v>37.6</v>
      </c>
    </row>
    <row r="414" spans="1:7" s="13" customFormat="1" ht="100.5" customHeight="1">
      <c r="A414" s="126" t="s">
        <v>4</v>
      </c>
      <c r="B414" s="127"/>
      <c r="C414" s="127"/>
      <c r="D414" s="127"/>
      <c r="E414" s="127"/>
      <c r="F414" s="127"/>
      <c r="G414" s="127"/>
    </row>
    <row r="415" spans="1:7" s="7" customFormat="1" ht="84.75" customHeight="1">
      <c r="A415" s="82">
        <v>1</v>
      </c>
      <c r="B415" s="88" t="s">
        <v>213</v>
      </c>
      <c r="C415" s="76">
        <v>60</v>
      </c>
      <c r="D415" s="77">
        <f>12.36*C415/100</f>
        <v>7.4159999999999995</v>
      </c>
      <c r="E415" s="77">
        <f>11.47*C415/100</f>
        <v>6.8820000000000006</v>
      </c>
      <c r="F415" s="77">
        <f>3.18*C415/100</f>
        <v>1.9080000000000001</v>
      </c>
      <c r="G415" s="77">
        <f>165.79*C415/100</f>
        <v>99.47399999999999</v>
      </c>
    </row>
    <row r="416" spans="1:7" s="7" customFormat="1" ht="61.5">
      <c r="A416" s="82">
        <v>2</v>
      </c>
      <c r="B416" s="88" t="s">
        <v>164</v>
      </c>
      <c r="C416" s="76">
        <v>200</v>
      </c>
      <c r="D416" s="77">
        <f>1.77*C416/100</f>
        <v>3.54</v>
      </c>
      <c r="E416" s="77">
        <f>4.71*C416/100</f>
        <v>9.42</v>
      </c>
      <c r="F416" s="77">
        <f>2.1*C416/100</f>
        <v>4.2</v>
      </c>
      <c r="G416" s="77">
        <f>65.5*C416/100</f>
        <v>131</v>
      </c>
    </row>
    <row r="417" spans="1:7" s="13" customFormat="1" ht="76.5" customHeight="1">
      <c r="A417" s="82">
        <v>3</v>
      </c>
      <c r="B417" s="78" t="s">
        <v>118</v>
      </c>
      <c r="C417" s="76">
        <v>150</v>
      </c>
      <c r="D417" s="77">
        <f>12.39*C417/100</f>
        <v>18.585000000000001</v>
      </c>
      <c r="E417" s="77">
        <f>6.65*C417/100</f>
        <v>9.9749999999999996</v>
      </c>
      <c r="F417" s="77">
        <f>8.28*C417/100</f>
        <v>12.42</v>
      </c>
      <c r="G417" s="77">
        <f>156.54*C417/100</f>
        <v>234.81</v>
      </c>
    </row>
    <row r="418" spans="1:7" s="14" customFormat="1" ht="77.25" customHeight="1">
      <c r="A418" s="82">
        <v>4</v>
      </c>
      <c r="B418" s="75" t="s">
        <v>49</v>
      </c>
      <c r="C418" s="76">
        <v>200</v>
      </c>
      <c r="D418" s="77">
        <f>0.62*C418/100</f>
        <v>1.24</v>
      </c>
      <c r="E418" s="77">
        <f>0.04*C418/100</f>
        <v>0.08</v>
      </c>
      <c r="F418" s="77">
        <f>12.06*C418/100</f>
        <v>24.12</v>
      </c>
      <c r="G418" s="77">
        <f>41.81*C418/100</f>
        <v>83.62</v>
      </c>
    </row>
    <row r="419" spans="1:7" s="7" customFormat="1" ht="60.75" customHeight="1">
      <c r="A419" s="82">
        <v>5</v>
      </c>
      <c r="B419" s="75" t="s">
        <v>56</v>
      </c>
      <c r="C419" s="76">
        <v>20</v>
      </c>
      <c r="D419" s="77">
        <f>7.76*C419/100</f>
        <v>1.5519999999999998</v>
      </c>
      <c r="E419" s="77">
        <f>2.65*C419/100</f>
        <v>0.53</v>
      </c>
      <c r="F419" s="77">
        <f>53.25*C419/100</f>
        <v>10.65</v>
      </c>
      <c r="G419" s="77">
        <f>273*C419/100</f>
        <v>54.6</v>
      </c>
    </row>
    <row r="420" spans="1:7" s="7" customFormat="1" ht="70.5" customHeight="1">
      <c r="A420" s="82">
        <v>6</v>
      </c>
      <c r="B420" s="75" t="s">
        <v>55</v>
      </c>
      <c r="C420" s="76">
        <v>20</v>
      </c>
      <c r="D420" s="77">
        <f>5.86*C420/100</f>
        <v>1.1719999999999999</v>
      </c>
      <c r="E420" s="77">
        <f>0.94*C420/100</f>
        <v>0.18799999999999997</v>
      </c>
      <c r="F420" s="77">
        <f>44.4*C420/100</f>
        <v>8.8800000000000008</v>
      </c>
      <c r="G420" s="77">
        <f>189*C420/100</f>
        <v>37.799999999999997</v>
      </c>
    </row>
    <row r="421" spans="1:7" s="7" customFormat="1" ht="97.5" customHeight="1">
      <c r="A421" s="82"/>
      <c r="B421" s="72" t="s">
        <v>3</v>
      </c>
      <c r="C421" s="80"/>
      <c r="D421" s="89">
        <f t="shared" ref="D421:G421" si="68">SUM(D415:D420)</f>
        <v>33.504999999999995</v>
      </c>
      <c r="E421" s="89">
        <f t="shared" si="68"/>
        <v>27.074999999999999</v>
      </c>
      <c r="F421" s="89">
        <f t="shared" si="68"/>
        <v>62.177999999999997</v>
      </c>
      <c r="G421" s="89">
        <f t="shared" si="68"/>
        <v>641.30399999999997</v>
      </c>
    </row>
    <row r="422" spans="1:7" s="7" customFormat="1" ht="92.25" customHeight="1">
      <c r="A422" s="126" t="s">
        <v>15</v>
      </c>
      <c r="B422" s="127"/>
      <c r="C422" s="127"/>
      <c r="D422" s="127"/>
      <c r="E422" s="127"/>
      <c r="F422" s="127"/>
      <c r="G422" s="127"/>
    </row>
    <row r="423" spans="1:7" s="7" customFormat="1" ht="84" customHeight="1">
      <c r="A423" s="82">
        <v>1</v>
      </c>
      <c r="B423" s="75" t="s">
        <v>214</v>
      </c>
      <c r="C423" s="76">
        <v>150</v>
      </c>
      <c r="D423" s="79">
        <f>6.06*C423/100</f>
        <v>9.0899999999999981</v>
      </c>
      <c r="E423" s="79">
        <f>8.65*C423/100</f>
        <v>12.975</v>
      </c>
      <c r="F423" s="79">
        <f>18.91*C423/100</f>
        <v>28.364999999999998</v>
      </c>
      <c r="G423" s="79">
        <f>185.41*C423/100</f>
        <v>278.11500000000001</v>
      </c>
    </row>
    <row r="424" spans="1:7" s="7" customFormat="1" ht="83.25" customHeight="1">
      <c r="A424" s="82">
        <v>2</v>
      </c>
      <c r="B424" s="75" t="s">
        <v>215</v>
      </c>
      <c r="C424" s="76">
        <v>200</v>
      </c>
      <c r="D424" s="79">
        <f>2.8*C424/100</f>
        <v>5.6</v>
      </c>
      <c r="E424" s="79">
        <f>4*C424/100</f>
        <v>8</v>
      </c>
      <c r="F424" s="79">
        <f>4.2*C424/100</f>
        <v>8.4</v>
      </c>
      <c r="G424" s="77">
        <f>64*C424/100</f>
        <v>128</v>
      </c>
    </row>
    <row r="425" spans="1:7" s="7" customFormat="1" ht="67.5" customHeight="1">
      <c r="A425" s="82">
        <v>3</v>
      </c>
      <c r="B425" s="75" t="s">
        <v>147</v>
      </c>
      <c r="C425" s="76">
        <v>20</v>
      </c>
      <c r="D425" s="77">
        <f>8.6*C425/100</f>
        <v>1.72</v>
      </c>
      <c r="E425" s="77">
        <f>24.4*C425/100</f>
        <v>4.88</v>
      </c>
      <c r="F425" s="77">
        <f>61.9*C425/100</f>
        <v>12.38</v>
      </c>
      <c r="G425" s="77">
        <f>499*C425/100</f>
        <v>99.8</v>
      </c>
    </row>
    <row r="426" spans="1:7" s="7" customFormat="1" ht="65.25" customHeight="1">
      <c r="A426" s="95"/>
      <c r="B426" s="72" t="s">
        <v>3</v>
      </c>
      <c r="C426" s="76"/>
      <c r="D426" s="89">
        <f t="shared" ref="D426:G426" si="69">SUM(D423:D425)</f>
        <v>16.409999999999997</v>
      </c>
      <c r="E426" s="89">
        <f t="shared" si="69"/>
        <v>25.855</v>
      </c>
      <c r="F426" s="89">
        <f t="shared" si="69"/>
        <v>49.145000000000003</v>
      </c>
      <c r="G426" s="89">
        <f t="shared" si="69"/>
        <v>505.91500000000002</v>
      </c>
    </row>
    <row r="427" spans="1:7" s="46" customFormat="1" ht="69.75" customHeight="1">
      <c r="A427" s="82"/>
      <c r="B427" s="72" t="s">
        <v>6</v>
      </c>
      <c r="C427" s="80"/>
      <c r="D427" s="89">
        <f t="shared" ref="D427:G427" si="70">D409+D413+D421+D426</f>
        <v>64.086999999999989</v>
      </c>
      <c r="E427" s="89">
        <f t="shared" si="70"/>
        <v>70.010000000000005</v>
      </c>
      <c r="F427" s="89">
        <f t="shared" si="70"/>
        <v>171.25300000000001</v>
      </c>
      <c r="G427" s="89">
        <f t="shared" si="70"/>
        <v>1602.3989999999999</v>
      </c>
    </row>
    <row r="428" spans="1:7" s="7" customFormat="1" ht="110.25" customHeight="1">
      <c r="A428" s="82"/>
      <c r="B428" s="121" t="s">
        <v>66</v>
      </c>
      <c r="C428" s="124"/>
      <c r="D428" s="123">
        <f t="shared" ref="D428:G428" si="71">(D318+D345+D373+D402+D427)/5</f>
        <v>55.229599999999991</v>
      </c>
      <c r="E428" s="123">
        <f t="shared" si="71"/>
        <v>64.799599999999998</v>
      </c>
      <c r="F428" s="123">
        <f t="shared" si="71"/>
        <v>184.24280000000002</v>
      </c>
      <c r="G428" s="123">
        <f t="shared" si="71"/>
        <v>1567.3854199999998</v>
      </c>
    </row>
    <row r="429" spans="1:7" s="7" customFormat="1" ht="33">
      <c r="A429" s="133" t="s">
        <v>138</v>
      </c>
      <c r="B429" s="134"/>
      <c r="C429" s="134"/>
      <c r="D429" s="134"/>
      <c r="E429" s="134"/>
      <c r="F429" s="134"/>
      <c r="G429" s="134"/>
    </row>
    <row r="430" spans="1:7" s="7" customFormat="1" ht="73.5" customHeight="1">
      <c r="A430" s="126" t="s">
        <v>65</v>
      </c>
      <c r="B430" s="127"/>
      <c r="C430" s="127"/>
      <c r="D430" s="127"/>
      <c r="E430" s="127"/>
      <c r="F430" s="127"/>
      <c r="G430" s="127"/>
    </row>
    <row r="431" spans="1:7" s="45" customFormat="1" ht="69.75" customHeight="1">
      <c r="A431" s="82">
        <v>1</v>
      </c>
      <c r="B431" s="78" t="s">
        <v>99</v>
      </c>
      <c r="C431" s="76">
        <v>200</v>
      </c>
      <c r="D431" s="77">
        <f>4.44*C431/100</f>
        <v>8.8800000000000008</v>
      </c>
      <c r="E431" s="77">
        <f>4.7*C431/100</f>
        <v>9.4</v>
      </c>
      <c r="F431" s="77">
        <f>20.61*C431/100</f>
        <v>41.22</v>
      </c>
      <c r="G431" s="77">
        <f>143.25*C431/100</f>
        <v>286.5</v>
      </c>
    </row>
    <row r="432" spans="1:7" s="13" customFormat="1" ht="66.75" customHeight="1">
      <c r="A432" s="82">
        <v>2</v>
      </c>
      <c r="B432" s="78" t="s">
        <v>201</v>
      </c>
      <c r="C432" s="76">
        <v>200</v>
      </c>
      <c r="D432" s="79">
        <f>0.75*C432/100</f>
        <v>1.5</v>
      </c>
      <c r="E432" s="79">
        <f>0.8*C432/100</f>
        <v>1.6</v>
      </c>
      <c r="F432" s="79">
        <f>6.16*C432/100</f>
        <v>12.32</v>
      </c>
      <c r="G432" s="77">
        <f>34.95*C432/100</f>
        <v>69.900000000000006</v>
      </c>
    </row>
    <row r="433" spans="1:8" s="13" customFormat="1" ht="75" customHeight="1">
      <c r="A433" s="82">
        <v>3</v>
      </c>
      <c r="B433" s="75" t="s">
        <v>216</v>
      </c>
      <c r="C433" s="96">
        <v>10</v>
      </c>
      <c r="D433" s="79">
        <f>0.5*C433/100</f>
        <v>0.05</v>
      </c>
      <c r="E433" s="79">
        <f>82.5*C433/100</f>
        <v>8.25</v>
      </c>
      <c r="F433" s="79">
        <f>0.8*C433/100</f>
        <v>0.08</v>
      </c>
      <c r="G433" s="79">
        <f>748*C433/100</f>
        <v>74.8</v>
      </c>
    </row>
    <row r="434" spans="1:8" s="13" customFormat="1" ht="64.5" customHeight="1">
      <c r="A434" s="82">
        <v>4</v>
      </c>
      <c r="B434" s="75" t="s">
        <v>217</v>
      </c>
      <c r="C434" s="76">
        <v>30</v>
      </c>
      <c r="D434" s="77">
        <f>8.8*C434/100</f>
        <v>2.64</v>
      </c>
      <c r="E434" s="77">
        <f>1.7*C434/100</f>
        <v>0.51</v>
      </c>
      <c r="F434" s="77">
        <f>29.4*C434/100</f>
        <v>8.82</v>
      </c>
      <c r="G434" s="77">
        <f>168*C434/100</f>
        <v>50.4</v>
      </c>
    </row>
    <row r="435" spans="1:8" s="46" customFormat="1" ht="82.5" customHeight="1">
      <c r="A435" s="95"/>
      <c r="B435" s="72" t="s">
        <v>3</v>
      </c>
      <c r="C435" s="80"/>
      <c r="D435" s="81">
        <f t="shared" ref="D435:G435" si="72">SUM(D431+SUM(D432:D434))</f>
        <v>13.07</v>
      </c>
      <c r="E435" s="81">
        <f t="shared" si="72"/>
        <v>19.759999999999998</v>
      </c>
      <c r="F435" s="81">
        <f t="shared" si="72"/>
        <v>62.44</v>
      </c>
      <c r="G435" s="81">
        <f t="shared" si="72"/>
        <v>481.6</v>
      </c>
    </row>
    <row r="436" spans="1:8" s="13" customFormat="1" ht="88.5" customHeight="1">
      <c r="A436" s="126" t="s">
        <v>64</v>
      </c>
      <c r="B436" s="127"/>
      <c r="C436" s="127"/>
      <c r="D436" s="127"/>
      <c r="E436" s="127"/>
      <c r="F436" s="127"/>
      <c r="G436" s="127"/>
      <c r="H436" s="20"/>
    </row>
    <row r="437" spans="1:8" s="7" customFormat="1" ht="64.5" customHeight="1">
      <c r="A437" s="82">
        <v>1</v>
      </c>
      <c r="B437" s="75" t="s">
        <v>71</v>
      </c>
      <c r="C437" s="83">
        <v>300</v>
      </c>
      <c r="D437" s="84">
        <f>0*C437/100</f>
        <v>0</v>
      </c>
      <c r="E437" s="84">
        <v>0</v>
      </c>
      <c r="F437" s="84">
        <f>0*C437/100</f>
        <v>0</v>
      </c>
      <c r="G437" s="84">
        <f>0*C437/100</f>
        <v>0</v>
      </c>
      <c r="H437" s="19"/>
    </row>
    <row r="438" spans="1:8" s="7" customFormat="1" ht="63.75" customHeight="1">
      <c r="A438" s="82">
        <v>2</v>
      </c>
      <c r="B438" s="75" t="s">
        <v>171</v>
      </c>
      <c r="C438" s="76">
        <v>80</v>
      </c>
      <c r="D438" s="84">
        <f>1.5*C438/100</f>
        <v>1.2</v>
      </c>
      <c r="E438" s="84">
        <f>0.5*C438/100</f>
        <v>0.4</v>
      </c>
      <c r="F438" s="84">
        <f>21*C438/100</f>
        <v>16.8</v>
      </c>
      <c r="G438" s="84">
        <f>96*C438/100</f>
        <v>76.8</v>
      </c>
    </row>
    <row r="439" spans="1:8" s="14" customFormat="1" ht="72.75" customHeight="1">
      <c r="A439" s="82"/>
      <c r="B439" s="72" t="s">
        <v>3</v>
      </c>
      <c r="C439" s="80"/>
      <c r="D439" s="81">
        <f t="shared" ref="D439:G439" si="73">SUM(D437:D438)</f>
        <v>1.2</v>
      </c>
      <c r="E439" s="81">
        <f t="shared" si="73"/>
        <v>0.4</v>
      </c>
      <c r="F439" s="81">
        <f t="shared" si="73"/>
        <v>16.8</v>
      </c>
      <c r="G439" s="81">
        <f t="shared" si="73"/>
        <v>76.8</v>
      </c>
      <c r="H439" s="18"/>
    </row>
    <row r="440" spans="1:8" s="14" customFormat="1" ht="87.75" customHeight="1">
      <c r="A440" s="126" t="s">
        <v>4</v>
      </c>
      <c r="B440" s="127"/>
      <c r="C440" s="127"/>
      <c r="D440" s="127"/>
      <c r="E440" s="127"/>
      <c r="F440" s="127"/>
      <c r="G440" s="127"/>
      <c r="H440" s="18"/>
    </row>
    <row r="441" spans="1:8" s="7" customFormat="1" ht="82.5" customHeight="1">
      <c r="A441" s="82">
        <v>1</v>
      </c>
      <c r="B441" s="88" t="s">
        <v>218</v>
      </c>
      <c r="C441" s="76">
        <v>60</v>
      </c>
      <c r="D441" s="77">
        <f>0.79*C441/100</f>
        <v>0.47400000000000003</v>
      </c>
      <c r="E441" s="77">
        <f>7.06*C441/100</f>
        <v>4.2359999999999998</v>
      </c>
      <c r="F441" s="77">
        <f>7.08*C441/100</f>
        <v>4.2480000000000002</v>
      </c>
      <c r="G441" s="77">
        <f>96.77*C441/100</f>
        <v>58.061999999999998</v>
      </c>
      <c r="H441" s="19"/>
    </row>
    <row r="442" spans="1:8" s="7" customFormat="1" ht="69" customHeight="1">
      <c r="A442" s="82">
        <v>2</v>
      </c>
      <c r="B442" s="85" t="s">
        <v>5</v>
      </c>
      <c r="C442" s="76">
        <v>200</v>
      </c>
      <c r="D442" s="77">
        <f>1.04*C442/100</f>
        <v>2.08</v>
      </c>
      <c r="E442" s="77">
        <f>2.08*C442/100</f>
        <v>4.16</v>
      </c>
      <c r="F442" s="77">
        <f>3.64*C442/100</f>
        <v>7.28</v>
      </c>
      <c r="G442" s="77">
        <f>41.36*C442/100</f>
        <v>82.72</v>
      </c>
      <c r="H442" s="19"/>
    </row>
    <row r="443" spans="1:8" s="13" customFormat="1" ht="67.5" customHeight="1">
      <c r="A443" s="82">
        <v>3</v>
      </c>
      <c r="B443" s="88" t="s">
        <v>100</v>
      </c>
      <c r="C443" s="76">
        <v>150</v>
      </c>
      <c r="D443" s="77">
        <f>8.2*C443/100</f>
        <v>12.3</v>
      </c>
      <c r="E443" s="77">
        <f>6.85*C443/100</f>
        <v>10.275</v>
      </c>
      <c r="F443" s="77">
        <f>10.59*C443/100</f>
        <v>15.885</v>
      </c>
      <c r="G443" s="77">
        <f>159.97*C443/100</f>
        <v>239.95500000000001</v>
      </c>
      <c r="H443" s="20"/>
    </row>
    <row r="444" spans="1:8" s="14" customFormat="1" ht="72" customHeight="1">
      <c r="A444" s="82">
        <v>4</v>
      </c>
      <c r="B444" s="88" t="s">
        <v>219</v>
      </c>
      <c r="C444" s="76">
        <v>200</v>
      </c>
      <c r="D444" s="77">
        <f>0.28*C444/100</f>
        <v>0.56000000000000005</v>
      </c>
      <c r="E444" s="77">
        <f>0.08*C444/100</f>
        <v>0.16</v>
      </c>
      <c r="F444" s="77">
        <f>12.84*C444/100</f>
        <v>25.68</v>
      </c>
      <c r="G444" s="77">
        <f>44.69*C444/100</f>
        <v>89.38</v>
      </c>
      <c r="H444" s="18"/>
    </row>
    <row r="445" spans="1:8" s="13" customFormat="1" ht="69" customHeight="1">
      <c r="A445" s="82">
        <v>5</v>
      </c>
      <c r="B445" s="75" t="s">
        <v>56</v>
      </c>
      <c r="C445" s="76">
        <v>20</v>
      </c>
      <c r="D445" s="77">
        <f>7.76*C445/100</f>
        <v>1.5519999999999998</v>
      </c>
      <c r="E445" s="77">
        <f>2.65*C445/100</f>
        <v>0.53</v>
      </c>
      <c r="F445" s="77">
        <f>53.25*C445/100</f>
        <v>10.65</v>
      </c>
      <c r="G445" s="77">
        <f>273*C445/100</f>
        <v>54.6</v>
      </c>
    </row>
    <row r="446" spans="1:8" s="7" customFormat="1" ht="68.25" customHeight="1">
      <c r="A446" s="82">
        <v>6</v>
      </c>
      <c r="B446" s="75" t="s">
        <v>55</v>
      </c>
      <c r="C446" s="76">
        <v>20</v>
      </c>
      <c r="D446" s="77">
        <f>5.86*C446/100</f>
        <v>1.1719999999999999</v>
      </c>
      <c r="E446" s="77">
        <f>0.94*C446/100</f>
        <v>0.18799999999999997</v>
      </c>
      <c r="F446" s="77">
        <f>44.4*C446/100</f>
        <v>8.8800000000000008</v>
      </c>
      <c r="G446" s="77">
        <f>189*C446/100</f>
        <v>37.799999999999997</v>
      </c>
    </row>
    <row r="447" spans="1:8" s="7" customFormat="1" ht="82.5" customHeight="1">
      <c r="A447" s="82"/>
      <c r="B447" s="72" t="s">
        <v>3</v>
      </c>
      <c r="C447" s="80"/>
      <c r="D447" s="89">
        <f t="shared" ref="D447:G447" si="74">SUM(D441:D446)</f>
        <v>18.138000000000002</v>
      </c>
      <c r="E447" s="89">
        <f t="shared" si="74"/>
        <v>19.548999999999999</v>
      </c>
      <c r="F447" s="89">
        <f t="shared" si="74"/>
        <v>72.623000000000005</v>
      </c>
      <c r="G447" s="89">
        <f t="shared" si="74"/>
        <v>562.51699999999994</v>
      </c>
    </row>
    <row r="448" spans="1:8" s="13" customFormat="1" ht="86.25" customHeight="1">
      <c r="A448" s="126" t="s">
        <v>15</v>
      </c>
      <c r="B448" s="127"/>
      <c r="C448" s="127"/>
      <c r="D448" s="127"/>
      <c r="E448" s="127"/>
      <c r="F448" s="127"/>
      <c r="G448" s="127"/>
    </row>
    <row r="449" spans="1:7" s="13" customFormat="1" ht="61.5">
      <c r="A449" s="82">
        <v>1</v>
      </c>
      <c r="B449" s="75" t="s">
        <v>119</v>
      </c>
      <c r="C449" s="76">
        <v>70</v>
      </c>
      <c r="D449" s="77">
        <f>14.05*C449/100</f>
        <v>9.8350000000000009</v>
      </c>
      <c r="E449" s="77">
        <f>10.43*C449/100</f>
        <v>7.3010000000000002</v>
      </c>
      <c r="F449" s="77">
        <f>7.22*C449/100</f>
        <v>5.0539999999999994</v>
      </c>
      <c r="G449" s="77">
        <f>181.62*C449/100</f>
        <v>127.134</v>
      </c>
    </row>
    <row r="450" spans="1:7" s="7" customFormat="1" ht="66.75" customHeight="1">
      <c r="A450" s="82">
        <v>2</v>
      </c>
      <c r="B450" s="75" t="s">
        <v>220</v>
      </c>
      <c r="C450" s="76">
        <v>150</v>
      </c>
      <c r="D450" s="79">
        <f>1.63*C450/100</f>
        <v>2.4449999999999998</v>
      </c>
      <c r="E450" s="79">
        <f>3*C450/100</f>
        <v>4.5</v>
      </c>
      <c r="F450" s="79">
        <f>8.17*C450/100</f>
        <v>12.255000000000001</v>
      </c>
      <c r="G450" s="79">
        <f>68.54*C450/100</f>
        <v>102.81000000000002</v>
      </c>
    </row>
    <row r="451" spans="1:7" s="46" customFormat="1" ht="64.5" customHeight="1">
      <c r="A451" s="82">
        <v>3</v>
      </c>
      <c r="B451" s="75" t="s">
        <v>197</v>
      </c>
      <c r="C451" s="76">
        <v>200</v>
      </c>
      <c r="D451" s="77">
        <f>0.11*C451/100</f>
        <v>0.22</v>
      </c>
      <c r="E451" s="77">
        <f>0.04*C451/100</f>
        <v>0.08</v>
      </c>
      <c r="F451" s="77">
        <f>8.74*C451/100</f>
        <v>17.48</v>
      </c>
      <c r="G451" s="77">
        <f>26.78*C451/100</f>
        <v>53.56</v>
      </c>
    </row>
    <row r="452" spans="1:7" s="13" customFormat="1" ht="56.25" customHeight="1">
      <c r="A452" s="82">
        <v>4</v>
      </c>
      <c r="B452" s="78" t="s">
        <v>238</v>
      </c>
      <c r="C452" s="76">
        <v>50</v>
      </c>
      <c r="D452" s="77">
        <f>10.77*C452/100</f>
        <v>5.3849999999999998</v>
      </c>
      <c r="E452" s="77">
        <f>10.43*C452/100</f>
        <v>5.2149999999999999</v>
      </c>
      <c r="F452" s="77">
        <f>51.29*C452/100</f>
        <v>25.645</v>
      </c>
      <c r="G452" s="104">
        <f>342.61*C452/100</f>
        <v>171.30500000000001</v>
      </c>
    </row>
    <row r="453" spans="1:7" s="13" customFormat="1" ht="63.75" customHeight="1">
      <c r="A453" s="82">
        <v>5</v>
      </c>
      <c r="B453" s="75" t="s">
        <v>56</v>
      </c>
      <c r="C453" s="76">
        <v>20</v>
      </c>
      <c r="D453" s="77">
        <f>7.76*C453/100</f>
        <v>1.5519999999999998</v>
      </c>
      <c r="E453" s="77">
        <f>2.65*C453/100</f>
        <v>0.53</v>
      </c>
      <c r="F453" s="77">
        <f>53.25*C453/100</f>
        <v>10.65</v>
      </c>
      <c r="G453" s="77">
        <f>273*C453/100</f>
        <v>54.6</v>
      </c>
    </row>
    <row r="454" spans="1:7" s="13" customFormat="1" ht="81" customHeight="1">
      <c r="A454" s="82"/>
      <c r="B454" s="72" t="s">
        <v>3</v>
      </c>
      <c r="C454" s="80"/>
      <c r="D454" s="81">
        <f t="shared" ref="D454:G454" si="75">SUM(D449:D453)</f>
        <v>19.437000000000001</v>
      </c>
      <c r="E454" s="81">
        <f t="shared" si="75"/>
        <v>17.626000000000001</v>
      </c>
      <c r="F454" s="81">
        <f t="shared" si="75"/>
        <v>71.084000000000003</v>
      </c>
      <c r="G454" s="81">
        <f t="shared" si="75"/>
        <v>509.40900000000005</v>
      </c>
    </row>
    <row r="455" spans="1:7" s="46" customFormat="1" ht="70.5" customHeight="1">
      <c r="A455" s="95"/>
      <c r="B455" s="72" t="s">
        <v>6</v>
      </c>
      <c r="C455" s="80"/>
      <c r="D455" s="89">
        <f t="shared" ref="D455:G455" si="76">D435+D439+D447+D454</f>
        <v>51.844999999999999</v>
      </c>
      <c r="E455" s="89">
        <f t="shared" si="76"/>
        <v>57.334999999999994</v>
      </c>
      <c r="F455" s="89">
        <f t="shared" si="76"/>
        <v>222.947</v>
      </c>
      <c r="G455" s="89">
        <f t="shared" si="76"/>
        <v>1630.326</v>
      </c>
    </row>
    <row r="456" spans="1:7" s="7" customFormat="1" ht="45" customHeight="1">
      <c r="A456" s="133" t="s">
        <v>139</v>
      </c>
      <c r="B456" s="134"/>
      <c r="C456" s="134"/>
      <c r="D456" s="134"/>
      <c r="E456" s="134"/>
      <c r="F456" s="134"/>
      <c r="G456" s="134"/>
    </row>
    <row r="457" spans="1:7" s="7" customFormat="1" ht="63" customHeight="1">
      <c r="A457" s="126" t="s">
        <v>65</v>
      </c>
      <c r="B457" s="127"/>
      <c r="C457" s="127"/>
      <c r="D457" s="127"/>
      <c r="E457" s="127"/>
      <c r="F457" s="127"/>
      <c r="G457" s="127"/>
    </row>
    <row r="458" spans="1:7" s="7" customFormat="1" ht="62.25" customHeight="1">
      <c r="A458" s="82">
        <v>1</v>
      </c>
      <c r="B458" s="78" t="s">
        <v>120</v>
      </c>
      <c r="C458" s="76">
        <v>80</v>
      </c>
      <c r="D458" s="77">
        <f>15.78*C458/100</f>
        <v>12.623999999999999</v>
      </c>
      <c r="E458" s="77">
        <f>10.42*C458/100</f>
        <v>8.3360000000000003</v>
      </c>
      <c r="F458" s="77">
        <f>16.67*C458/100</f>
        <v>13.336000000000002</v>
      </c>
      <c r="G458" s="77">
        <f>232.32*C458/100</f>
        <v>185.85599999999999</v>
      </c>
    </row>
    <row r="459" spans="1:7" s="7" customFormat="1" ht="61.5" customHeight="1">
      <c r="A459" s="82">
        <v>2</v>
      </c>
      <c r="B459" s="78" t="s">
        <v>221</v>
      </c>
      <c r="C459" s="76">
        <v>20</v>
      </c>
      <c r="D459" s="77">
        <f>0.56*C459/100</f>
        <v>0.11200000000000002</v>
      </c>
      <c r="E459" s="77">
        <f>0.03*C459/100</f>
        <v>6.0000000000000001E-3</v>
      </c>
      <c r="F459" s="77">
        <f>41.91*C459/100</f>
        <v>8.3819999999999997</v>
      </c>
      <c r="G459" s="77">
        <f>249.02*C459/100</f>
        <v>49.804000000000002</v>
      </c>
    </row>
    <row r="460" spans="1:7" s="7" customFormat="1" ht="72" customHeight="1">
      <c r="A460" s="82">
        <v>2</v>
      </c>
      <c r="B460" s="75" t="s">
        <v>14</v>
      </c>
      <c r="C460" s="76">
        <v>200</v>
      </c>
      <c r="D460" s="79">
        <f>0*C460/100</f>
        <v>0</v>
      </c>
      <c r="E460" s="79">
        <f>0*C460/100</f>
        <v>0</v>
      </c>
      <c r="F460" s="79">
        <f>4.99*C460/100</f>
        <v>9.98</v>
      </c>
      <c r="G460" s="79">
        <f>19.95*C460/100</f>
        <v>39.9</v>
      </c>
    </row>
    <row r="461" spans="1:7" s="7" customFormat="1" ht="60.75" customHeight="1">
      <c r="A461" s="82">
        <v>4</v>
      </c>
      <c r="B461" s="75" t="s">
        <v>175</v>
      </c>
      <c r="C461" s="76">
        <v>10</v>
      </c>
      <c r="D461" s="79">
        <f>26*C461/100</f>
        <v>2.6</v>
      </c>
      <c r="E461" s="79">
        <f>26.1*C461/100</f>
        <v>2.61</v>
      </c>
      <c r="F461" s="79">
        <f>0*C461/100</f>
        <v>0</v>
      </c>
      <c r="G461" s="77">
        <f>344*C461/100</f>
        <v>34.4</v>
      </c>
    </row>
    <row r="462" spans="1:7" s="7" customFormat="1" ht="61.5" customHeight="1">
      <c r="A462" s="82">
        <v>5</v>
      </c>
      <c r="B462" s="85" t="s">
        <v>56</v>
      </c>
      <c r="C462" s="76">
        <v>20</v>
      </c>
      <c r="D462" s="77">
        <f>7.76*C462/100</f>
        <v>1.5519999999999998</v>
      </c>
      <c r="E462" s="77">
        <f>2.65*C462/100</f>
        <v>0.53</v>
      </c>
      <c r="F462" s="77">
        <f>53.25*C462/100</f>
        <v>10.65</v>
      </c>
      <c r="G462" s="77">
        <f>273*C462/100</f>
        <v>54.6</v>
      </c>
    </row>
    <row r="463" spans="1:7" s="7" customFormat="1" ht="86.25" customHeight="1">
      <c r="A463" s="82"/>
      <c r="B463" s="72" t="s">
        <v>3</v>
      </c>
      <c r="C463" s="80"/>
      <c r="D463" s="81">
        <f t="shared" ref="D463:F463" si="77">SUM(D458:D462)</f>
        <v>16.887999999999998</v>
      </c>
      <c r="E463" s="81">
        <f t="shared" si="77"/>
        <v>11.481999999999999</v>
      </c>
      <c r="F463" s="81">
        <f t="shared" si="77"/>
        <v>42.348000000000006</v>
      </c>
      <c r="G463" s="81">
        <f>SUM(G458:G462)</f>
        <v>364.56</v>
      </c>
    </row>
    <row r="464" spans="1:7" s="7" customFormat="1" ht="91.5" customHeight="1">
      <c r="A464" s="126" t="s">
        <v>64</v>
      </c>
      <c r="B464" s="127"/>
      <c r="C464" s="127"/>
      <c r="D464" s="127"/>
      <c r="E464" s="127"/>
      <c r="F464" s="127"/>
      <c r="G464" s="127"/>
    </row>
    <row r="465" spans="1:7" s="7" customFormat="1" ht="60.75" customHeight="1">
      <c r="A465" s="82">
        <v>1</v>
      </c>
      <c r="B465" s="75" t="s">
        <v>71</v>
      </c>
      <c r="C465" s="83">
        <v>300</v>
      </c>
      <c r="D465" s="84">
        <f>0*C465/100</f>
        <v>0</v>
      </c>
      <c r="E465" s="84">
        <v>0</v>
      </c>
      <c r="F465" s="84">
        <f>0*C465/100</f>
        <v>0</v>
      </c>
      <c r="G465" s="84">
        <f>0*C465/100</f>
        <v>0</v>
      </c>
    </row>
    <row r="466" spans="1:7" s="7" customFormat="1" ht="75.75" customHeight="1">
      <c r="A466" s="82">
        <v>2</v>
      </c>
      <c r="B466" s="75" t="s">
        <v>171</v>
      </c>
      <c r="C466" s="76">
        <v>80</v>
      </c>
      <c r="D466" s="77">
        <f>0.4*C466/100</f>
        <v>0.32</v>
      </c>
      <c r="E466" s="77">
        <f>0.3*C466/100</f>
        <v>0.24</v>
      </c>
      <c r="F466" s="77">
        <f>10.3*C466/100</f>
        <v>8.24</v>
      </c>
      <c r="G466" s="77">
        <f>47*C466/100</f>
        <v>37.6</v>
      </c>
    </row>
    <row r="467" spans="1:7" s="7" customFormat="1" ht="87" customHeight="1">
      <c r="A467" s="82"/>
      <c r="B467" s="72" t="s">
        <v>3</v>
      </c>
      <c r="C467" s="80"/>
      <c r="D467" s="81">
        <f t="shared" ref="D467:G467" si="78">SUM(D465:D466)</f>
        <v>0.32</v>
      </c>
      <c r="E467" s="81">
        <f t="shared" si="78"/>
        <v>0.24</v>
      </c>
      <c r="F467" s="81">
        <f t="shared" si="78"/>
        <v>8.24</v>
      </c>
      <c r="G467" s="81">
        <f t="shared" si="78"/>
        <v>37.6</v>
      </c>
    </row>
    <row r="468" spans="1:7" s="13" customFormat="1" ht="96" customHeight="1">
      <c r="A468" s="126" t="s">
        <v>4</v>
      </c>
      <c r="B468" s="127"/>
      <c r="C468" s="127"/>
      <c r="D468" s="127"/>
      <c r="E468" s="127"/>
      <c r="F468" s="127"/>
      <c r="G468" s="127"/>
    </row>
    <row r="469" spans="1:7" s="13" customFormat="1" ht="64.5" customHeight="1">
      <c r="A469" s="82">
        <v>1</v>
      </c>
      <c r="B469" s="75" t="s">
        <v>16</v>
      </c>
      <c r="C469" s="76">
        <v>60</v>
      </c>
      <c r="D469" s="77">
        <f>1.57*C469/100</f>
        <v>0.94200000000000006</v>
      </c>
      <c r="E469" s="77">
        <f>10.18*C469/100</f>
        <v>6.1079999999999997</v>
      </c>
      <c r="F469" s="77">
        <f>6.7*C469/100</f>
        <v>4.0199999999999996</v>
      </c>
      <c r="G469" s="77">
        <f>129.231*C469/100</f>
        <v>77.538600000000002</v>
      </c>
    </row>
    <row r="470" spans="1:7" s="13" customFormat="1" ht="71.25" customHeight="1">
      <c r="A470" s="82">
        <v>2</v>
      </c>
      <c r="B470" s="78" t="s">
        <v>146</v>
      </c>
      <c r="C470" s="76">
        <v>200</v>
      </c>
      <c r="D470" s="77">
        <f>3.34*C470/100</f>
        <v>6.68</v>
      </c>
      <c r="E470" s="77">
        <f>5.17*C470/100</f>
        <v>10.34</v>
      </c>
      <c r="F470" s="77">
        <f>8.64*C470/100</f>
        <v>17.28</v>
      </c>
      <c r="G470" s="77">
        <f>95.58*C470/100</f>
        <v>191.16</v>
      </c>
    </row>
    <row r="471" spans="1:7" s="13" customFormat="1" ht="73.5" customHeight="1">
      <c r="A471" s="82">
        <v>3</v>
      </c>
      <c r="B471" s="78" t="s">
        <v>88</v>
      </c>
      <c r="C471" s="76">
        <v>70</v>
      </c>
      <c r="D471" s="77">
        <f>25.07*C471/100</f>
        <v>17.548999999999999</v>
      </c>
      <c r="E471" s="77">
        <f>16.32*C471/100</f>
        <v>11.424000000000001</v>
      </c>
      <c r="F471" s="77">
        <f>0.66*C471/100</f>
        <v>0.46200000000000002</v>
      </c>
      <c r="G471" s="77">
        <f>273.93*C471/100</f>
        <v>191.75100000000003</v>
      </c>
    </row>
    <row r="472" spans="1:7" s="7" customFormat="1" ht="74.25" customHeight="1">
      <c r="A472" s="82">
        <v>4</v>
      </c>
      <c r="B472" s="75" t="s">
        <v>237</v>
      </c>
      <c r="C472" s="76">
        <v>150</v>
      </c>
      <c r="D472" s="77">
        <f>5.58*C472/100</f>
        <v>8.3699999999999992</v>
      </c>
      <c r="E472" s="77">
        <f>5.61*C472/100</f>
        <v>8.4149999999999991</v>
      </c>
      <c r="F472" s="77">
        <f>24.71*C472/100</f>
        <v>37.064999999999998</v>
      </c>
      <c r="G472" s="77">
        <f>172.48*C472/100</f>
        <v>258.72000000000003</v>
      </c>
    </row>
    <row r="473" spans="1:7" s="7" customFormat="1" ht="65.25" customHeight="1">
      <c r="A473" s="82">
        <v>5</v>
      </c>
      <c r="B473" s="78" t="s">
        <v>197</v>
      </c>
      <c r="C473" s="76">
        <v>200</v>
      </c>
      <c r="D473" s="77">
        <f>0.06*C473/100</f>
        <v>0.12</v>
      </c>
      <c r="E473" s="77">
        <f>0.02*C473/100</f>
        <v>0.04</v>
      </c>
      <c r="F473" s="77">
        <f>8.35*C473/100</f>
        <v>16.7</v>
      </c>
      <c r="G473" s="77">
        <f>25.02*C473/100</f>
        <v>50.04</v>
      </c>
    </row>
    <row r="474" spans="1:7" s="7" customFormat="1" ht="77.25" customHeight="1">
      <c r="A474" s="82">
        <v>6</v>
      </c>
      <c r="B474" s="75" t="s">
        <v>56</v>
      </c>
      <c r="C474" s="76">
        <v>20</v>
      </c>
      <c r="D474" s="77">
        <f>7.76*C474/100</f>
        <v>1.5519999999999998</v>
      </c>
      <c r="E474" s="77">
        <f>2.65*C474/100</f>
        <v>0.53</v>
      </c>
      <c r="F474" s="77">
        <f>53.25*C474/100</f>
        <v>10.65</v>
      </c>
      <c r="G474" s="77">
        <f>273*C474/100</f>
        <v>54.6</v>
      </c>
    </row>
    <row r="475" spans="1:7" s="14" customFormat="1" ht="72" customHeight="1">
      <c r="A475" s="82">
        <v>7</v>
      </c>
      <c r="B475" s="75" t="s">
        <v>55</v>
      </c>
      <c r="C475" s="76">
        <v>20</v>
      </c>
      <c r="D475" s="77">
        <f>5.86*C475/100</f>
        <v>1.1719999999999999</v>
      </c>
      <c r="E475" s="77">
        <f>0.94*C475/100</f>
        <v>0.18799999999999997</v>
      </c>
      <c r="F475" s="77">
        <f>44.4*C475/100</f>
        <v>8.8800000000000008</v>
      </c>
      <c r="G475" s="77">
        <f>189*C475/100</f>
        <v>37.799999999999997</v>
      </c>
    </row>
    <row r="476" spans="1:7" s="10" customFormat="1" ht="63.75" customHeight="1">
      <c r="A476" s="82"/>
      <c r="B476" s="72" t="s">
        <v>3</v>
      </c>
      <c r="C476" s="80"/>
      <c r="D476" s="89">
        <f t="shared" ref="D476:G476" si="79">SUM(D469:D475)</f>
        <v>36.384999999999991</v>
      </c>
      <c r="E476" s="89">
        <f t="shared" si="79"/>
        <v>37.045000000000002</v>
      </c>
      <c r="F476" s="89">
        <f t="shared" si="79"/>
        <v>95.057000000000002</v>
      </c>
      <c r="G476" s="89">
        <f t="shared" si="79"/>
        <v>861.6096</v>
      </c>
    </row>
    <row r="477" spans="1:7" s="7" customFormat="1" ht="80.25" customHeight="1">
      <c r="A477" s="126" t="s">
        <v>15</v>
      </c>
      <c r="B477" s="127"/>
      <c r="C477" s="127"/>
      <c r="D477" s="127"/>
      <c r="E477" s="127"/>
      <c r="F477" s="127"/>
      <c r="G477" s="127"/>
    </row>
    <row r="478" spans="1:7" s="7" customFormat="1" ht="64.5" customHeight="1">
      <c r="A478" s="82">
        <v>1</v>
      </c>
      <c r="B478" s="75" t="s">
        <v>122</v>
      </c>
      <c r="C478" s="76">
        <v>80</v>
      </c>
      <c r="D478" s="79">
        <f>4.99*C478/100</f>
        <v>3.9920000000000004</v>
      </c>
      <c r="E478" s="79">
        <f>6.73*C478/100</f>
        <v>5.3840000000000012</v>
      </c>
      <c r="F478" s="79">
        <f>40.15*C478/100</f>
        <v>32.119999999999997</v>
      </c>
      <c r="G478" s="77">
        <f>246.6*C478/100</f>
        <v>197.28</v>
      </c>
    </row>
    <row r="479" spans="1:7" s="13" customFormat="1" ht="56.25" customHeight="1">
      <c r="A479" s="82">
        <v>2</v>
      </c>
      <c r="B479" s="78" t="s">
        <v>95</v>
      </c>
      <c r="C479" s="76">
        <v>20</v>
      </c>
      <c r="D479" s="79">
        <f>2.69*C479/100</f>
        <v>0.53799999999999992</v>
      </c>
      <c r="E479" s="79">
        <f>5.75*C479/100</f>
        <v>1.1499999999999999</v>
      </c>
      <c r="F479" s="79">
        <f>16.3*C479/100</f>
        <v>3.26</v>
      </c>
      <c r="G479" s="77">
        <f>128.02*C479/100</f>
        <v>25.603999999999999</v>
      </c>
    </row>
    <row r="480" spans="1:7" s="13" customFormat="1" ht="59.25" customHeight="1">
      <c r="A480" s="82">
        <v>3</v>
      </c>
      <c r="B480" s="75" t="s">
        <v>156</v>
      </c>
      <c r="C480" s="76">
        <v>20</v>
      </c>
      <c r="D480" s="77">
        <f>0.5*C480/100</f>
        <v>0.1</v>
      </c>
      <c r="E480" s="77">
        <f>0*C480/100</f>
        <v>0</v>
      </c>
      <c r="F480" s="77">
        <f>80*C480/100</f>
        <v>16</v>
      </c>
      <c r="G480" s="77">
        <f>324*C480/100</f>
        <v>64.8</v>
      </c>
    </row>
    <row r="481" spans="1:7" s="13" customFormat="1" ht="47.25" customHeight="1">
      <c r="A481" s="82">
        <v>4</v>
      </c>
      <c r="B481" s="75" t="s">
        <v>143</v>
      </c>
      <c r="C481" s="76">
        <v>200</v>
      </c>
      <c r="D481" s="83">
        <f>2.8*C481/100</f>
        <v>5.6</v>
      </c>
      <c r="E481" s="84">
        <f>2.9*C481/100</f>
        <v>5.8</v>
      </c>
      <c r="F481" s="84">
        <f>10.5*C481/100</f>
        <v>21</v>
      </c>
      <c r="G481" s="84">
        <f>79.3*C481/100</f>
        <v>158.6</v>
      </c>
    </row>
    <row r="482" spans="1:7" s="13" customFormat="1" ht="50.25" customHeight="1">
      <c r="A482" s="95"/>
      <c r="B482" s="72" t="s">
        <v>3</v>
      </c>
      <c r="C482" s="76"/>
      <c r="D482" s="89">
        <f t="shared" ref="D482:G482" si="80">SUM(D478)+SUM(D479:D481)</f>
        <v>10.23</v>
      </c>
      <c r="E482" s="89">
        <f t="shared" si="80"/>
        <v>12.334</v>
      </c>
      <c r="F482" s="89">
        <f t="shared" si="80"/>
        <v>72.38</v>
      </c>
      <c r="G482" s="89">
        <f t="shared" si="80"/>
        <v>446.28399999999999</v>
      </c>
    </row>
    <row r="483" spans="1:7" s="7" customFormat="1" ht="83.25" customHeight="1">
      <c r="A483" s="82"/>
      <c r="B483" s="72" t="s">
        <v>6</v>
      </c>
      <c r="C483" s="80"/>
      <c r="D483" s="89">
        <f t="shared" ref="D483:G483" si="81">D463+D476+D467+D482</f>
        <v>63.822999999999993</v>
      </c>
      <c r="E483" s="89">
        <f t="shared" si="81"/>
        <v>61.100999999999999</v>
      </c>
      <c r="F483" s="89">
        <f t="shared" si="81"/>
        <v>218.02500000000001</v>
      </c>
      <c r="G483" s="89">
        <f t="shared" si="81"/>
        <v>1710.0535999999997</v>
      </c>
    </row>
    <row r="484" spans="1:7" s="13" customFormat="1" ht="33">
      <c r="A484" s="128" t="s">
        <v>140</v>
      </c>
      <c r="B484" s="129"/>
      <c r="C484" s="129"/>
      <c r="D484" s="129"/>
      <c r="E484" s="129"/>
      <c r="F484" s="129"/>
      <c r="G484" s="129"/>
    </row>
    <row r="485" spans="1:7" s="13" customFormat="1" ht="54.75" customHeight="1">
      <c r="A485" s="130" t="s">
        <v>65</v>
      </c>
      <c r="B485" s="131"/>
      <c r="C485" s="131"/>
      <c r="D485" s="131"/>
      <c r="E485" s="131"/>
      <c r="F485" s="131"/>
      <c r="G485" s="131"/>
    </row>
    <row r="486" spans="1:7" s="45" customFormat="1" ht="66.75" customHeight="1">
      <c r="A486" s="82">
        <v>1</v>
      </c>
      <c r="B486" s="88" t="s">
        <v>236</v>
      </c>
      <c r="C486" s="76">
        <v>200</v>
      </c>
      <c r="D486" s="79">
        <f>3.2*C486/100</f>
        <v>6.4</v>
      </c>
      <c r="E486" s="79">
        <f>5.5*C486/100</f>
        <v>11</v>
      </c>
      <c r="F486" s="79">
        <f>19.6*C486/100</f>
        <v>39.200000000000003</v>
      </c>
      <c r="G486" s="79">
        <f>144*C486/100</f>
        <v>288</v>
      </c>
    </row>
    <row r="487" spans="1:7" s="7" customFormat="1" ht="54.75" customHeight="1">
      <c r="A487" s="82">
        <v>2</v>
      </c>
      <c r="B487" s="75" t="s">
        <v>14</v>
      </c>
      <c r="C487" s="76">
        <v>200</v>
      </c>
      <c r="D487" s="79">
        <f>0*C487/100</f>
        <v>0</v>
      </c>
      <c r="E487" s="79">
        <f>0*C487/100</f>
        <v>0</v>
      </c>
      <c r="F487" s="79">
        <f>4.99*C487/100</f>
        <v>9.98</v>
      </c>
      <c r="G487" s="79">
        <f>19.95*C487/100</f>
        <v>39.9</v>
      </c>
    </row>
    <row r="488" spans="1:7" s="10" customFormat="1" ht="54" customHeight="1">
      <c r="A488" s="82">
        <v>3</v>
      </c>
      <c r="B488" s="75" t="s">
        <v>222</v>
      </c>
      <c r="C488" s="76">
        <v>10</v>
      </c>
      <c r="D488" s="79">
        <f>0.5*C488/100</f>
        <v>0.05</v>
      </c>
      <c r="E488" s="79">
        <f>82.5*C488/100</f>
        <v>8.25</v>
      </c>
      <c r="F488" s="79">
        <f>0.8*C488/100</f>
        <v>0.08</v>
      </c>
      <c r="G488" s="79">
        <f>748*C488/100</f>
        <v>74.8</v>
      </c>
    </row>
    <row r="489" spans="1:7" s="13" customFormat="1" ht="53.25" customHeight="1">
      <c r="A489" s="82">
        <v>4</v>
      </c>
      <c r="B489" s="85" t="s">
        <v>56</v>
      </c>
      <c r="C489" s="76">
        <v>20</v>
      </c>
      <c r="D489" s="77">
        <f>7.76*C489/100</f>
        <v>1.5519999999999998</v>
      </c>
      <c r="E489" s="77">
        <f>2.65*C489/100</f>
        <v>0.53</v>
      </c>
      <c r="F489" s="77">
        <f>53.25*C489/100</f>
        <v>10.65</v>
      </c>
      <c r="G489" s="77">
        <f>273*C489/100</f>
        <v>54.6</v>
      </c>
    </row>
    <row r="490" spans="1:7" s="46" customFormat="1" ht="65.25" customHeight="1">
      <c r="A490" s="95"/>
      <c r="B490" s="72" t="s">
        <v>3</v>
      </c>
      <c r="C490" s="76"/>
      <c r="D490" s="81">
        <f>SUM(D486:D489)</f>
        <v>8.0020000000000007</v>
      </c>
      <c r="E490" s="81">
        <f t="shared" ref="E490:G490" si="82">SUM(E486:E489)</f>
        <v>19.78</v>
      </c>
      <c r="F490" s="81">
        <f t="shared" si="82"/>
        <v>59.910000000000004</v>
      </c>
      <c r="G490" s="81">
        <f t="shared" si="82"/>
        <v>457.3</v>
      </c>
    </row>
    <row r="491" spans="1:7" s="7" customFormat="1" ht="85.5" customHeight="1">
      <c r="A491" s="126" t="s">
        <v>64</v>
      </c>
      <c r="B491" s="127"/>
      <c r="C491" s="127"/>
      <c r="D491" s="127"/>
      <c r="E491" s="127"/>
      <c r="F491" s="127"/>
      <c r="G491" s="127"/>
    </row>
    <row r="492" spans="1:7" s="7" customFormat="1" ht="60.75" customHeight="1">
      <c r="A492" s="82">
        <v>1</v>
      </c>
      <c r="B492" s="75" t="s">
        <v>71</v>
      </c>
      <c r="C492" s="83">
        <v>300</v>
      </c>
      <c r="D492" s="84">
        <f>0*C492/100</f>
        <v>0</v>
      </c>
      <c r="E492" s="84">
        <v>0</v>
      </c>
      <c r="F492" s="84">
        <f>0*C492/100</f>
        <v>0</v>
      </c>
      <c r="G492" s="84">
        <f>0*C492/100</f>
        <v>0</v>
      </c>
    </row>
    <row r="493" spans="1:7" s="40" customFormat="1" ht="57.75" customHeight="1">
      <c r="A493" s="83">
        <v>2</v>
      </c>
      <c r="B493" s="75" t="s">
        <v>167</v>
      </c>
      <c r="C493" s="76">
        <v>80</v>
      </c>
      <c r="D493" s="84">
        <f>0.8*C493/100</f>
        <v>0.64</v>
      </c>
      <c r="E493" s="84">
        <f>0.2*C493/100</f>
        <v>0.16</v>
      </c>
      <c r="F493" s="84">
        <f>7.5*C493/100</f>
        <v>6</v>
      </c>
      <c r="G493" s="84">
        <f>38*C493/100</f>
        <v>30.4</v>
      </c>
    </row>
    <row r="494" spans="1:7" s="7" customFormat="1" ht="64.5" customHeight="1">
      <c r="A494" s="82"/>
      <c r="B494" s="72" t="s">
        <v>3</v>
      </c>
      <c r="C494" s="76"/>
      <c r="D494" s="81">
        <f t="shared" ref="D494:G494" si="83">SUM(D492:D493)</f>
        <v>0.64</v>
      </c>
      <c r="E494" s="81">
        <f t="shared" si="83"/>
        <v>0.16</v>
      </c>
      <c r="F494" s="81">
        <f t="shared" si="83"/>
        <v>6</v>
      </c>
      <c r="G494" s="81">
        <f t="shared" si="83"/>
        <v>30.4</v>
      </c>
    </row>
    <row r="495" spans="1:7" s="11" customFormat="1" ht="86.25" customHeight="1">
      <c r="A495" s="132" t="s">
        <v>4</v>
      </c>
      <c r="B495" s="127"/>
      <c r="C495" s="127"/>
      <c r="D495" s="127"/>
      <c r="E495" s="127"/>
      <c r="F495" s="127"/>
      <c r="G495" s="127"/>
    </row>
    <row r="496" spans="1:7" s="7" customFormat="1" ht="74.25" customHeight="1">
      <c r="A496" s="82">
        <v>1</v>
      </c>
      <c r="B496" s="78" t="s">
        <v>223</v>
      </c>
      <c r="C496" s="76">
        <v>60</v>
      </c>
      <c r="D496" s="77">
        <f>0.74*C496/100</f>
        <v>0.44400000000000001</v>
      </c>
      <c r="E496" s="77">
        <f>12.08*C496/100</f>
        <v>7.2479999999999993</v>
      </c>
      <c r="F496" s="77">
        <f>2.36*C496/100</f>
        <v>1.4159999999999999</v>
      </c>
      <c r="G496" s="77">
        <f>120.69*C496/100</f>
        <v>72.414000000000001</v>
      </c>
    </row>
    <row r="497" spans="1:7" s="7" customFormat="1" ht="72.75" customHeight="1">
      <c r="A497" s="82">
        <v>2</v>
      </c>
      <c r="B497" s="93" t="s">
        <v>123</v>
      </c>
      <c r="C497" s="76">
        <v>200</v>
      </c>
      <c r="D497" s="77">
        <f>1.85*C497/100</f>
        <v>3.7</v>
      </c>
      <c r="E497" s="77">
        <f>3.66*C497/100</f>
        <v>7.32</v>
      </c>
      <c r="F497" s="77">
        <f>2.51*C497/100</f>
        <v>5.0199999999999996</v>
      </c>
      <c r="G497" s="77">
        <f>56.39*C497/100</f>
        <v>112.78</v>
      </c>
    </row>
    <row r="498" spans="1:7" s="7" customFormat="1" ht="58.5" customHeight="1">
      <c r="A498" s="82">
        <v>3</v>
      </c>
      <c r="B498" s="75" t="s">
        <v>165</v>
      </c>
      <c r="C498" s="76">
        <v>70</v>
      </c>
      <c r="D498" s="77">
        <f>16.51*C498/100</f>
        <v>11.557</v>
      </c>
      <c r="E498" s="77">
        <f>8.94*C498/100</f>
        <v>6.2579999999999991</v>
      </c>
      <c r="F498" s="77">
        <f>4.66*C498/100</f>
        <v>3.262</v>
      </c>
      <c r="G498" s="77">
        <f>168.63*C498/100</f>
        <v>118.041</v>
      </c>
    </row>
    <row r="499" spans="1:7" s="7" customFormat="1" ht="61.5" customHeight="1">
      <c r="A499" s="82">
        <v>4</v>
      </c>
      <c r="B499" s="75" t="s">
        <v>46</v>
      </c>
      <c r="C499" s="76">
        <v>150</v>
      </c>
      <c r="D499" s="77">
        <f>3.61*C499/100</f>
        <v>5.415</v>
      </c>
      <c r="E499" s="77">
        <f>4.47*C499/100</f>
        <v>6.7050000000000001</v>
      </c>
      <c r="F499" s="77">
        <f>19.28*C499/100</f>
        <v>28.92</v>
      </c>
      <c r="G499" s="77">
        <f>133.46*C499/100</f>
        <v>200.19</v>
      </c>
    </row>
    <row r="500" spans="1:7" s="7" customFormat="1" ht="64.5" customHeight="1">
      <c r="A500" s="82">
        <v>5</v>
      </c>
      <c r="B500" s="97" t="s">
        <v>77</v>
      </c>
      <c r="C500" s="76">
        <v>200</v>
      </c>
      <c r="D500" s="79">
        <f>0.27*C500/100</f>
        <v>0.54</v>
      </c>
      <c r="E500" s="79">
        <f>0.11*C500/100</f>
        <v>0.22</v>
      </c>
      <c r="F500" s="79">
        <f>7.86*C500/100</f>
        <v>15.72</v>
      </c>
      <c r="G500" s="79">
        <f>37.88*C500/100</f>
        <v>75.760000000000005</v>
      </c>
    </row>
    <row r="501" spans="1:7" s="7" customFormat="1" ht="55.5" customHeight="1">
      <c r="A501" s="82">
        <v>6</v>
      </c>
      <c r="B501" s="75" t="s">
        <v>56</v>
      </c>
      <c r="C501" s="76">
        <v>20</v>
      </c>
      <c r="D501" s="77">
        <f>7.76*C501/100</f>
        <v>1.5519999999999998</v>
      </c>
      <c r="E501" s="77">
        <f>2.65*C501/100</f>
        <v>0.53</v>
      </c>
      <c r="F501" s="77">
        <f>53.25*C501/100</f>
        <v>10.65</v>
      </c>
      <c r="G501" s="77">
        <f>273*C501/100</f>
        <v>54.6</v>
      </c>
    </row>
    <row r="502" spans="1:7" s="7" customFormat="1" ht="62.25" customHeight="1">
      <c r="A502" s="82">
        <v>7</v>
      </c>
      <c r="B502" s="75" t="s">
        <v>224</v>
      </c>
      <c r="C502" s="76">
        <v>20</v>
      </c>
      <c r="D502" s="77">
        <f>5.86*C502/100</f>
        <v>1.1719999999999999</v>
      </c>
      <c r="E502" s="77">
        <f>0.94*C502/100</f>
        <v>0.18799999999999997</v>
      </c>
      <c r="F502" s="77">
        <f>44.4*C502/100</f>
        <v>8.8800000000000008</v>
      </c>
      <c r="G502" s="77">
        <f>189*C502/100</f>
        <v>37.799999999999997</v>
      </c>
    </row>
    <row r="503" spans="1:7" s="7" customFormat="1" ht="79.5" customHeight="1">
      <c r="A503" s="82"/>
      <c r="B503" s="72" t="s">
        <v>3</v>
      </c>
      <c r="C503" s="80"/>
      <c r="D503" s="89">
        <f t="shared" ref="D503:G503" si="84">SUM(D496:D502)</f>
        <v>24.38</v>
      </c>
      <c r="E503" s="89">
        <f t="shared" si="84"/>
        <v>28.468999999999998</v>
      </c>
      <c r="F503" s="89">
        <f t="shared" si="84"/>
        <v>73.867999999999995</v>
      </c>
      <c r="G503" s="89">
        <f t="shared" si="84"/>
        <v>671.58500000000004</v>
      </c>
    </row>
    <row r="504" spans="1:7" s="13" customFormat="1" ht="85.5" customHeight="1">
      <c r="A504" s="132" t="s">
        <v>15</v>
      </c>
      <c r="B504" s="127"/>
      <c r="C504" s="127"/>
      <c r="D504" s="127"/>
      <c r="E504" s="127"/>
      <c r="F504" s="127"/>
      <c r="G504" s="127"/>
    </row>
    <row r="505" spans="1:7" s="13" customFormat="1" ht="75.75" customHeight="1">
      <c r="A505" s="105">
        <v>1</v>
      </c>
      <c r="B505" s="75" t="s">
        <v>124</v>
      </c>
      <c r="C505" s="76">
        <v>150</v>
      </c>
      <c r="D505" s="77">
        <f>9.77*C505/100</f>
        <v>14.654999999999999</v>
      </c>
      <c r="E505" s="77">
        <f>3.58*C505/100</f>
        <v>5.37</v>
      </c>
      <c r="F505" s="77">
        <f>8.29*C505/100</f>
        <v>12.434999999999997</v>
      </c>
      <c r="G505" s="77">
        <f>123.1*C505/100</f>
        <v>184.65</v>
      </c>
    </row>
    <row r="506" spans="1:7" s="13" customFormat="1" ht="76.5" customHeight="1">
      <c r="A506" s="105">
        <v>2</v>
      </c>
      <c r="B506" s="78" t="s">
        <v>97</v>
      </c>
      <c r="C506" s="76">
        <v>20</v>
      </c>
      <c r="D506" s="77">
        <f>1.43*C506/100</f>
        <v>0.28599999999999998</v>
      </c>
      <c r="E506" s="77">
        <f>4.3*C506/100</f>
        <v>0.86</v>
      </c>
      <c r="F506" s="77">
        <f>8.34*C506/100</f>
        <v>1.6680000000000001</v>
      </c>
      <c r="G506" s="77">
        <f>78.69*C506/100</f>
        <v>15.738</v>
      </c>
    </row>
    <row r="507" spans="1:7" s="13" customFormat="1" ht="57" customHeight="1">
      <c r="A507" s="105">
        <v>3</v>
      </c>
      <c r="B507" s="103" t="s">
        <v>14</v>
      </c>
      <c r="C507" s="76">
        <v>200</v>
      </c>
      <c r="D507" s="79">
        <f>1.69*C507/100</f>
        <v>3.38</v>
      </c>
      <c r="E507" s="79">
        <f>1.72*C507/100</f>
        <v>3.44</v>
      </c>
      <c r="F507" s="79">
        <f>7.42*C507/100</f>
        <v>14.84</v>
      </c>
      <c r="G507" s="77">
        <f>52.26*C507/100</f>
        <v>104.52</v>
      </c>
    </row>
    <row r="508" spans="1:7" s="7" customFormat="1" ht="61.5" customHeight="1">
      <c r="A508" s="105">
        <v>4</v>
      </c>
      <c r="B508" s="75" t="s">
        <v>56</v>
      </c>
      <c r="C508" s="76">
        <v>20</v>
      </c>
      <c r="D508" s="77">
        <f>7.76*C508/100</f>
        <v>1.5519999999999998</v>
      </c>
      <c r="E508" s="77">
        <f>2.65*C508/100</f>
        <v>0.53</v>
      </c>
      <c r="F508" s="77">
        <f>53.25*C508/100</f>
        <v>10.65</v>
      </c>
      <c r="G508" s="77">
        <f>273*C508/100</f>
        <v>54.6</v>
      </c>
    </row>
    <row r="509" spans="1:7" s="7" customFormat="1" ht="63.75" customHeight="1">
      <c r="A509" s="82">
        <v>5</v>
      </c>
      <c r="B509" s="88" t="s">
        <v>178</v>
      </c>
      <c r="C509" s="76">
        <v>25</v>
      </c>
      <c r="D509" s="79">
        <f>7.13*C509/100</f>
        <v>1.7825</v>
      </c>
      <c r="E509" s="79">
        <f>5.18*C509/100</f>
        <v>1.2949999999999999</v>
      </c>
      <c r="F509" s="79">
        <f>35.62*C509/100</f>
        <v>8.9049999999999994</v>
      </c>
      <c r="G509" s="79">
        <f>234.39*C509/100</f>
        <v>58.597499999999997</v>
      </c>
    </row>
    <row r="510" spans="1:7" s="13" customFormat="1" ht="78" customHeight="1">
      <c r="A510" s="106"/>
      <c r="B510" s="72" t="s">
        <v>3</v>
      </c>
      <c r="C510" s="76"/>
      <c r="D510" s="89">
        <f t="shared" ref="D510:G510" si="85">SUM(D505:D509)</f>
        <v>21.655499999999996</v>
      </c>
      <c r="E510" s="89">
        <f t="shared" si="85"/>
        <v>11.494999999999999</v>
      </c>
      <c r="F510" s="89">
        <f t="shared" si="85"/>
        <v>48.497999999999998</v>
      </c>
      <c r="G510" s="89">
        <f t="shared" si="85"/>
        <v>418.10550000000001</v>
      </c>
    </row>
    <row r="511" spans="1:7" s="46" customFormat="1" ht="130.5" customHeight="1" thickBot="1">
      <c r="A511" s="107"/>
      <c r="B511" s="108" t="s">
        <v>6</v>
      </c>
      <c r="C511" s="109"/>
      <c r="D511" s="110">
        <f t="shared" ref="D511:G511" si="86">D490+D494+D503+D510</f>
        <v>54.677499999999995</v>
      </c>
      <c r="E511" s="110">
        <f t="shared" si="86"/>
        <v>59.903999999999996</v>
      </c>
      <c r="F511" s="110">
        <f t="shared" si="86"/>
        <v>188.27599999999998</v>
      </c>
      <c r="G511" s="110">
        <f t="shared" si="86"/>
        <v>1577.3905</v>
      </c>
    </row>
    <row r="512" spans="1:7" s="7" customFormat="1" ht="58.5" customHeight="1">
      <c r="A512" s="173" t="s">
        <v>141</v>
      </c>
      <c r="B512" s="174"/>
      <c r="C512" s="174"/>
      <c r="D512" s="174"/>
      <c r="E512" s="174"/>
      <c r="F512" s="174"/>
      <c r="G512" s="174"/>
    </row>
    <row r="513" spans="1:7" s="7" customFormat="1" ht="51" customHeight="1">
      <c r="A513" s="130" t="s">
        <v>65</v>
      </c>
      <c r="B513" s="131"/>
      <c r="C513" s="131"/>
      <c r="D513" s="131"/>
      <c r="E513" s="131"/>
      <c r="F513" s="131"/>
      <c r="G513" s="131"/>
    </row>
    <row r="514" spans="1:7" s="13" customFormat="1" ht="61.5" customHeight="1">
      <c r="A514" s="82">
        <v>1</v>
      </c>
      <c r="B514" s="88" t="s">
        <v>61</v>
      </c>
      <c r="C514" s="76">
        <v>80</v>
      </c>
      <c r="D514" s="77">
        <f>8.08*C514/100</f>
        <v>6.4639999999999995</v>
      </c>
      <c r="E514" s="77">
        <f>9.12*C514/100</f>
        <v>7.2959999999999994</v>
      </c>
      <c r="F514" s="77">
        <f>1.44*C514/100</f>
        <v>1.1519999999999999</v>
      </c>
      <c r="G514" s="77">
        <f>119.71*C514/100</f>
        <v>95.767999999999986</v>
      </c>
    </row>
    <row r="515" spans="1:7" s="13" customFormat="1" ht="60" customHeight="1">
      <c r="A515" s="82">
        <v>2</v>
      </c>
      <c r="B515" s="78" t="s">
        <v>115</v>
      </c>
      <c r="C515" s="76">
        <v>200</v>
      </c>
      <c r="D515" s="79">
        <f>0.75*C515/100</f>
        <v>1.5</v>
      </c>
      <c r="E515" s="79">
        <f>0.8*C515/100</f>
        <v>1.6</v>
      </c>
      <c r="F515" s="79">
        <f>6.16*C515/100</f>
        <v>12.32</v>
      </c>
      <c r="G515" s="77">
        <f>34.95*C515/100</f>
        <v>69.900000000000006</v>
      </c>
    </row>
    <row r="516" spans="1:7" s="13" customFormat="1" ht="60.75" customHeight="1">
      <c r="A516" s="82">
        <v>3</v>
      </c>
      <c r="B516" s="88" t="s">
        <v>104</v>
      </c>
      <c r="C516" s="76">
        <v>20</v>
      </c>
      <c r="D516" s="79">
        <f>22.6*C516/100</f>
        <v>4.5199999999999996</v>
      </c>
      <c r="E516" s="79">
        <f>20.9*C516/100</f>
        <v>4.18</v>
      </c>
      <c r="F516" s="79">
        <f>0*C516/100</f>
        <v>0</v>
      </c>
      <c r="G516" s="79">
        <f>279*C516/100</f>
        <v>55.8</v>
      </c>
    </row>
    <row r="517" spans="1:7" s="13" customFormat="1" ht="63.75" customHeight="1">
      <c r="A517" s="82">
        <v>4</v>
      </c>
      <c r="B517" s="75" t="s">
        <v>56</v>
      </c>
      <c r="C517" s="76">
        <v>20</v>
      </c>
      <c r="D517" s="77">
        <f>7.76*C517/100</f>
        <v>1.5519999999999998</v>
      </c>
      <c r="E517" s="77">
        <f>2.65*C517/100</f>
        <v>0.53</v>
      </c>
      <c r="F517" s="77">
        <f>53.25*C517/100</f>
        <v>10.65</v>
      </c>
      <c r="G517" s="77">
        <f>273*C517/100</f>
        <v>54.6</v>
      </c>
    </row>
    <row r="518" spans="1:7" s="14" customFormat="1" ht="72" customHeight="1">
      <c r="A518" s="82"/>
      <c r="B518" s="72" t="s">
        <v>3</v>
      </c>
      <c r="C518" s="80"/>
      <c r="D518" s="81">
        <f t="shared" ref="D518:G518" si="87">SUM(D514:D517)</f>
        <v>14.035999999999998</v>
      </c>
      <c r="E518" s="81">
        <f t="shared" si="87"/>
        <v>13.605999999999998</v>
      </c>
      <c r="F518" s="81">
        <f t="shared" si="87"/>
        <v>24.122</v>
      </c>
      <c r="G518" s="81">
        <f t="shared" si="87"/>
        <v>276.06800000000004</v>
      </c>
    </row>
    <row r="519" spans="1:7" s="14" customFormat="1" ht="73.5" customHeight="1">
      <c r="A519" s="126" t="s">
        <v>64</v>
      </c>
      <c r="B519" s="127"/>
      <c r="C519" s="127"/>
      <c r="D519" s="127"/>
      <c r="E519" s="127"/>
      <c r="F519" s="127"/>
      <c r="G519" s="127"/>
    </row>
    <row r="520" spans="1:7" s="7" customFormat="1" ht="67.5" customHeight="1">
      <c r="A520" s="82">
        <v>1</v>
      </c>
      <c r="B520" s="75" t="s">
        <v>71</v>
      </c>
      <c r="C520" s="83">
        <v>300</v>
      </c>
      <c r="D520" s="84">
        <f>0*C520/100</f>
        <v>0</v>
      </c>
      <c r="E520" s="84">
        <v>0</v>
      </c>
      <c r="F520" s="84">
        <f>0*C520/100</f>
        <v>0</v>
      </c>
      <c r="G520" s="84">
        <f>0*C520/100</f>
        <v>0</v>
      </c>
    </row>
    <row r="521" spans="1:7" s="7" customFormat="1" ht="69.75" customHeight="1">
      <c r="A521" s="82">
        <v>2</v>
      </c>
      <c r="B521" s="75" t="s">
        <v>166</v>
      </c>
      <c r="C521" s="76">
        <v>80</v>
      </c>
      <c r="D521" s="84">
        <f>0.4*C521/100</f>
        <v>0.32</v>
      </c>
      <c r="E521" s="84">
        <f>0.4*C521/100</f>
        <v>0.32</v>
      </c>
      <c r="F521" s="84">
        <f>9.8*C521/100</f>
        <v>7.84</v>
      </c>
      <c r="G521" s="84">
        <f>47*C521/100</f>
        <v>37.6</v>
      </c>
    </row>
    <row r="522" spans="1:7" s="13" customFormat="1" ht="61.5" customHeight="1">
      <c r="A522" s="82"/>
      <c r="B522" s="72" t="s">
        <v>3</v>
      </c>
      <c r="C522" s="80"/>
      <c r="D522" s="81">
        <f t="shared" ref="D522:G522" si="88">SUM(D520:D521)</f>
        <v>0.32</v>
      </c>
      <c r="E522" s="81">
        <f t="shared" si="88"/>
        <v>0.32</v>
      </c>
      <c r="F522" s="81">
        <f t="shared" si="88"/>
        <v>7.84</v>
      </c>
      <c r="G522" s="81">
        <f t="shared" si="88"/>
        <v>37.6</v>
      </c>
    </row>
    <row r="523" spans="1:7" s="11" customFormat="1" ht="84.75" customHeight="1">
      <c r="A523" s="132" t="s">
        <v>4</v>
      </c>
      <c r="B523" s="127"/>
      <c r="C523" s="127"/>
      <c r="D523" s="127"/>
      <c r="E523" s="127"/>
      <c r="F523" s="127"/>
      <c r="G523" s="127"/>
    </row>
    <row r="524" spans="1:7" s="11" customFormat="1" ht="80.25" customHeight="1">
      <c r="A524" s="82">
        <v>1</v>
      </c>
      <c r="B524" s="78" t="s">
        <v>225</v>
      </c>
      <c r="C524" s="96">
        <v>60</v>
      </c>
      <c r="D524" s="77">
        <f>1.62*C524/100</f>
        <v>0.97199999999999998</v>
      </c>
      <c r="E524" s="77">
        <f>10.08*C524/100</f>
        <v>6.0479999999999992</v>
      </c>
      <c r="F524" s="77">
        <f>9.55*C524/100</f>
        <v>5.73</v>
      </c>
      <c r="G524" s="77">
        <f>136.44*C524/100</f>
        <v>81.86399999999999</v>
      </c>
    </row>
    <row r="525" spans="1:7" s="7" customFormat="1" ht="69" customHeight="1">
      <c r="A525" s="82">
        <v>2</v>
      </c>
      <c r="B525" s="93" t="s">
        <v>228</v>
      </c>
      <c r="C525" s="76">
        <v>200</v>
      </c>
      <c r="D525" s="77">
        <f>2.57*C525/100</f>
        <v>5.14</v>
      </c>
      <c r="E525" s="77">
        <f>3.16*C525/100</f>
        <v>6.32</v>
      </c>
      <c r="F525" s="77">
        <f>6.25*C525/100</f>
        <v>12.5</v>
      </c>
      <c r="G525" s="77">
        <f>68.37*C525/100</f>
        <v>136.74</v>
      </c>
    </row>
    <row r="526" spans="1:7" s="7" customFormat="1" ht="58.5" customHeight="1">
      <c r="A526" s="82">
        <v>3</v>
      </c>
      <c r="B526" s="93" t="s">
        <v>48</v>
      </c>
      <c r="C526" s="76">
        <v>10</v>
      </c>
      <c r="D526" s="77">
        <f>11.1*C526/100</f>
        <v>1.1100000000000001</v>
      </c>
      <c r="E526" s="77">
        <f>3.79*C526/100</f>
        <v>0.379</v>
      </c>
      <c r="F526" s="77">
        <f>76.15*C526/100</f>
        <v>7.6150000000000002</v>
      </c>
      <c r="G526" s="77">
        <f>390.39*C526/100</f>
        <v>39.038999999999994</v>
      </c>
    </row>
    <row r="527" spans="1:7" s="7" customFormat="1" ht="78.75" customHeight="1">
      <c r="A527" s="82">
        <v>4</v>
      </c>
      <c r="B527" s="75" t="s">
        <v>226</v>
      </c>
      <c r="C527" s="76">
        <v>70</v>
      </c>
      <c r="D527" s="77">
        <f>11.78*C527/100</f>
        <v>8.2459999999999987</v>
      </c>
      <c r="E527" s="77">
        <f>11.6*C527/100</f>
        <v>8.1199999999999992</v>
      </c>
      <c r="F527" s="77">
        <f>3.08*C527/100</f>
        <v>2.1560000000000001</v>
      </c>
      <c r="G527" s="77">
        <f>162.39*C527/100</f>
        <v>113.67299999999999</v>
      </c>
    </row>
    <row r="528" spans="1:7" s="7" customFormat="1" ht="81" customHeight="1">
      <c r="A528" s="82">
        <v>5</v>
      </c>
      <c r="B528" s="88" t="s">
        <v>235</v>
      </c>
      <c r="C528" s="76">
        <v>150</v>
      </c>
      <c r="D528" s="77">
        <f>1.5*C528/100</f>
        <v>2.25</v>
      </c>
      <c r="E528" s="77">
        <f>2.63*C528/100</f>
        <v>3.9449999999999998</v>
      </c>
      <c r="F528" s="77">
        <f>2.3*C528/100</f>
        <v>3.45</v>
      </c>
      <c r="G528" s="77">
        <f>41.85*C528/100</f>
        <v>62.774999999999999</v>
      </c>
    </row>
    <row r="529" spans="1:8" s="7" customFormat="1" ht="62.25" customHeight="1">
      <c r="A529" s="82">
        <v>6</v>
      </c>
      <c r="B529" s="78" t="s">
        <v>227</v>
      </c>
      <c r="C529" s="76">
        <v>200</v>
      </c>
      <c r="D529" s="77">
        <f>0.08*C529/100</f>
        <v>0.16</v>
      </c>
      <c r="E529" s="77">
        <f>0.06*C529/100</f>
        <v>0.12</v>
      </c>
      <c r="F529" s="77">
        <f>8*C529/100</f>
        <v>16</v>
      </c>
      <c r="G529" s="77">
        <f>23.36*C529/100</f>
        <v>46.72</v>
      </c>
    </row>
    <row r="530" spans="1:8" s="7" customFormat="1" ht="51.75" customHeight="1">
      <c r="A530" s="82">
        <v>7</v>
      </c>
      <c r="B530" s="75" t="s">
        <v>56</v>
      </c>
      <c r="C530" s="76">
        <v>20</v>
      </c>
      <c r="D530" s="77">
        <f>7.76*C530/100</f>
        <v>1.5519999999999998</v>
      </c>
      <c r="E530" s="77">
        <f>2.65*C530/100</f>
        <v>0.53</v>
      </c>
      <c r="F530" s="77">
        <f>53.25*C530/100</f>
        <v>10.65</v>
      </c>
      <c r="G530" s="77">
        <f>273*C530/100</f>
        <v>54.6</v>
      </c>
    </row>
    <row r="531" spans="1:8" s="7" customFormat="1" ht="69" customHeight="1">
      <c r="A531" s="82">
        <v>8</v>
      </c>
      <c r="B531" s="75" t="s">
        <v>224</v>
      </c>
      <c r="C531" s="76">
        <v>20</v>
      </c>
      <c r="D531" s="77">
        <f>5.86*C531/100</f>
        <v>1.1719999999999999</v>
      </c>
      <c r="E531" s="77">
        <f>0.94*C531/100</f>
        <v>0.18799999999999997</v>
      </c>
      <c r="F531" s="77">
        <f>44.4*C531/100</f>
        <v>8.8800000000000008</v>
      </c>
      <c r="G531" s="77">
        <f>189*C531/100</f>
        <v>37.799999999999997</v>
      </c>
    </row>
    <row r="532" spans="1:8" s="7" customFormat="1" ht="80.25" customHeight="1">
      <c r="A532" s="82"/>
      <c r="B532" s="72" t="s">
        <v>3</v>
      </c>
      <c r="C532" s="80"/>
      <c r="D532" s="89">
        <f t="shared" ref="D532:F532" si="89">SUM(D524:D531)</f>
        <v>20.602</v>
      </c>
      <c r="E532" s="89">
        <f t="shared" si="89"/>
        <v>25.65</v>
      </c>
      <c r="F532" s="89">
        <f t="shared" si="89"/>
        <v>66.980999999999995</v>
      </c>
      <c r="G532" s="89">
        <f>SUM(G524:G531)</f>
        <v>573.2109999999999</v>
      </c>
    </row>
    <row r="533" spans="1:8" s="7" customFormat="1" ht="88.5" customHeight="1">
      <c r="A533" s="132" t="s">
        <v>15</v>
      </c>
      <c r="B533" s="127"/>
      <c r="C533" s="127"/>
      <c r="D533" s="127"/>
      <c r="E533" s="127"/>
      <c r="F533" s="127"/>
      <c r="G533" s="127"/>
    </row>
    <row r="534" spans="1:8" s="7" customFormat="1" ht="45" customHeight="1">
      <c r="A534" s="82">
        <v>1</v>
      </c>
      <c r="B534" s="88" t="s">
        <v>106</v>
      </c>
      <c r="C534" s="76">
        <v>70</v>
      </c>
      <c r="D534" s="77">
        <f>16.42*C534/100</f>
        <v>11.494000000000002</v>
      </c>
      <c r="E534" s="77">
        <f>10.84*C534/100</f>
        <v>7.5879999999999992</v>
      </c>
      <c r="F534" s="77">
        <f>4.66*C534/100</f>
        <v>3.262</v>
      </c>
      <c r="G534" s="77">
        <f>182.82*C534/100</f>
        <v>127.97399999999999</v>
      </c>
    </row>
    <row r="535" spans="1:8" s="7" customFormat="1" ht="66.75" customHeight="1">
      <c r="A535" s="82">
        <v>2</v>
      </c>
      <c r="B535" s="75" t="s">
        <v>10</v>
      </c>
      <c r="C535" s="76">
        <v>150</v>
      </c>
      <c r="D535" s="79">
        <f>2.13*C535/100</f>
        <v>3.1949999999999998</v>
      </c>
      <c r="E535" s="79">
        <f>4.94*C535/100</f>
        <v>7.410000000000001</v>
      </c>
      <c r="F535" s="79">
        <f>14.27*C535/100</f>
        <v>21.405000000000001</v>
      </c>
      <c r="G535" s="79">
        <f>110.31*C535/100</f>
        <v>165.465</v>
      </c>
      <c r="H535" s="19"/>
    </row>
    <row r="536" spans="1:8" s="7" customFormat="1" ht="59.25" customHeight="1">
      <c r="A536" s="82">
        <v>3</v>
      </c>
      <c r="B536" s="75" t="s">
        <v>229</v>
      </c>
      <c r="C536" s="76">
        <v>200</v>
      </c>
      <c r="D536" s="77">
        <f>0.62*C536/100</f>
        <v>1.24</v>
      </c>
      <c r="E536" s="77">
        <f>0.04*C536/100</f>
        <v>0.08</v>
      </c>
      <c r="F536" s="77">
        <f>12.06*C536/100</f>
        <v>24.12</v>
      </c>
      <c r="G536" s="77">
        <f>41.81*C536/100</f>
        <v>83.62</v>
      </c>
    </row>
    <row r="537" spans="1:8" s="7" customFormat="1" ht="57" customHeight="1">
      <c r="A537" s="82">
        <v>4</v>
      </c>
      <c r="B537" s="75" t="s">
        <v>56</v>
      </c>
      <c r="C537" s="76">
        <v>20</v>
      </c>
      <c r="D537" s="77">
        <f>7.76*C537/100</f>
        <v>1.5519999999999998</v>
      </c>
      <c r="E537" s="77">
        <f>2.65*C537/100</f>
        <v>0.53</v>
      </c>
      <c r="F537" s="77">
        <f>53.25*C537/100</f>
        <v>10.65</v>
      </c>
      <c r="G537" s="77">
        <f>273*C537/100</f>
        <v>54.6</v>
      </c>
    </row>
    <row r="538" spans="1:8" s="13" customFormat="1" ht="40.5" customHeight="1">
      <c r="A538" s="82">
        <v>5</v>
      </c>
      <c r="B538" s="78" t="s">
        <v>144</v>
      </c>
      <c r="C538" s="111">
        <v>20</v>
      </c>
      <c r="D538" s="77">
        <f>0.8*C538/100</f>
        <v>0.16</v>
      </c>
      <c r="E538" s="77">
        <f>0.05*C538/100</f>
        <v>0.01</v>
      </c>
      <c r="F538" s="77">
        <f>80.3*C538/100</f>
        <v>16.059999999999999</v>
      </c>
      <c r="G538" s="77">
        <f>323.6*C538/100</f>
        <v>64.72</v>
      </c>
    </row>
    <row r="539" spans="1:8" s="13" customFormat="1" ht="50.25" customHeight="1">
      <c r="A539" s="82"/>
      <c r="B539" s="72" t="s">
        <v>3</v>
      </c>
      <c r="C539" s="80"/>
      <c r="D539" s="81">
        <f t="shared" ref="D539:F539" si="90">SUM(D534:D538)</f>
        <v>17.641000000000002</v>
      </c>
      <c r="E539" s="81">
        <f t="shared" si="90"/>
        <v>15.618</v>
      </c>
      <c r="F539" s="81">
        <f t="shared" si="90"/>
        <v>75.497</v>
      </c>
      <c r="G539" s="81">
        <f>SUM(G534:G538)</f>
        <v>496.37900000000002</v>
      </c>
    </row>
    <row r="540" spans="1:8" s="13" customFormat="1" ht="63.75" customHeight="1">
      <c r="A540" s="82"/>
      <c r="B540" s="72" t="s">
        <v>6</v>
      </c>
      <c r="C540" s="80"/>
      <c r="D540" s="89">
        <f t="shared" ref="D540:G540" si="91">D518+D532+D539+D522</f>
        <v>52.598999999999997</v>
      </c>
      <c r="E540" s="89">
        <f t="shared" si="91"/>
        <v>55.194000000000003</v>
      </c>
      <c r="F540" s="89">
        <f t="shared" si="91"/>
        <v>174.44</v>
      </c>
      <c r="G540" s="89">
        <f t="shared" si="91"/>
        <v>1383.2579999999998</v>
      </c>
    </row>
    <row r="541" spans="1:8" s="13" customFormat="1" ht="60.75" customHeight="1">
      <c r="A541" s="128" t="s">
        <v>142</v>
      </c>
      <c r="B541" s="129"/>
      <c r="C541" s="129"/>
      <c r="D541" s="129"/>
      <c r="E541" s="129"/>
      <c r="F541" s="129"/>
      <c r="G541" s="129"/>
    </row>
    <row r="542" spans="1:8" s="7" customFormat="1" ht="68.25" customHeight="1">
      <c r="A542" s="130" t="s">
        <v>65</v>
      </c>
      <c r="B542" s="131"/>
      <c r="C542" s="131"/>
      <c r="D542" s="131"/>
      <c r="E542" s="131"/>
      <c r="F542" s="131"/>
      <c r="G542" s="131"/>
    </row>
    <row r="543" spans="1:8" s="7" customFormat="1" ht="58.5" customHeight="1">
      <c r="A543" s="82">
        <v>1</v>
      </c>
      <c r="B543" s="88" t="s">
        <v>230</v>
      </c>
      <c r="C543" s="76">
        <v>200</v>
      </c>
      <c r="D543" s="79">
        <f>4.2*C543/100</f>
        <v>8.4</v>
      </c>
      <c r="E543" s="79">
        <f>5.44*C543/100</f>
        <v>10.88</v>
      </c>
      <c r="F543" s="79">
        <f>17.67*C543/100</f>
        <v>35.340000000000003</v>
      </c>
      <c r="G543" s="79">
        <f>137.11*C543/100</f>
        <v>274.22000000000003</v>
      </c>
    </row>
    <row r="544" spans="1:8" s="10" customFormat="1" ht="56.25" customHeight="1">
      <c r="A544" s="82">
        <v>2</v>
      </c>
      <c r="B544" s="100" t="s">
        <v>14</v>
      </c>
      <c r="C544" s="76">
        <v>200</v>
      </c>
      <c r="D544" s="79">
        <f>0*C544/100</f>
        <v>0</v>
      </c>
      <c r="E544" s="79">
        <f>0*C544/100</f>
        <v>0</v>
      </c>
      <c r="F544" s="79">
        <f>4.99*C544/100</f>
        <v>9.98</v>
      </c>
      <c r="G544" s="79">
        <f>19.95*C544/100</f>
        <v>39.9</v>
      </c>
    </row>
    <row r="545" spans="1:7" s="10" customFormat="1" ht="61.5" customHeight="1">
      <c r="A545" s="82">
        <v>3</v>
      </c>
      <c r="B545" s="75" t="s">
        <v>222</v>
      </c>
      <c r="C545" s="76">
        <v>10</v>
      </c>
      <c r="D545" s="79">
        <f>0.5*C545/100</f>
        <v>0.05</v>
      </c>
      <c r="E545" s="79">
        <f>82.5*C545/100</f>
        <v>8.25</v>
      </c>
      <c r="F545" s="79">
        <f>0.8*C545/100</f>
        <v>0.08</v>
      </c>
      <c r="G545" s="79">
        <f>748*C545/100</f>
        <v>74.8</v>
      </c>
    </row>
    <row r="546" spans="1:7" s="10" customFormat="1" ht="65.25" customHeight="1">
      <c r="A546" s="82">
        <v>4</v>
      </c>
      <c r="B546" s="75" t="s">
        <v>175</v>
      </c>
      <c r="C546" s="76">
        <v>10</v>
      </c>
      <c r="D546" s="79">
        <f>26*C546/100</f>
        <v>2.6</v>
      </c>
      <c r="E546" s="79">
        <f>26.1*C546/100</f>
        <v>2.61</v>
      </c>
      <c r="F546" s="79">
        <f>0*C546/100</f>
        <v>0</v>
      </c>
      <c r="G546" s="77">
        <f>344*C546/100</f>
        <v>34.4</v>
      </c>
    </row>
    <row r="547" spans="1:7" s="7" customFormat="1" ht="63.75" customHeight="1">
      <c r="A547" s="82">
        <v>5</v>
      </c>
      <c r="B547" s="75" t="s">
        <v>231</v>
      </c>
      <c r="C547" s="76">
        <v>20</v>
      </c>
      <c r="D547" s="77">
        <v>1.55</v>
      </c>
      <c r="E547" s="77">
        <v>0.53</v>
      </c>
      <c r="F547" s="77">
        <v>10.65</v>
      </c>
      <c r="G547" s="77">
        <v>54.6</v>
      </c>
    </row>
    <row r="548" spans="1:7" s="46" customFormat="1" ht="54" customHeight="1">
      <c r="A548" s="95"/>
      <c r="B548" s="72" t="s">
        <v>3</v>
      </c>
      <c r="C548" s="80"/>
      <c r="D548" s="81">
        <f>SUM(D543:D547)</f>
        <v>12.600000000000001</v>
      </c>
      <c r="E548" s="81">
        <f t="shared" ref="E548:G548" si="92">SUM(E543:E547)</f>
        <v>22.270000000000003</v>
      </c>
      <c r="F548" s="81">
        <f t="shared" si="92"/>
        <v>56.050000000000004</v>
      </c>
      <c r="G548" s="81">
        <f t="shared" si="92"/>
        <v>477.92</v>
      </c>
    </row>
    <row r="549" spans="1:7" s="13" customFormat="1" ht="81" customHeight="1">
      <c r="A549" s="126" t="s">
        <v>64</v>
      </c>
      <c r="B549" s="127"/>
      <c r="C549" s="127"/>
      <c r="D549" s="127"/>
      <c r="E549" s="127"/>
      <c r="F549" s="127"/>
      <c r="G549" s="127"/>
    </row>
    <row r="550" spans="1:7" s="13" customFormat="1" ht="53.25" customHeight="1">
      <c r="A550" s="82">
        <v>1</v>
      </c>
      <c r="B550" s="75" t="s">
        <v>71</v>
      </c>
      <c r="C550" s="83">
        <v>300</v>
      </c>
      <c r="D550" s="84">
        <f>0*C550/100</f>
        <v>0</v>
      </c>
      <c r="E550" s="84">
        <v>0</v>
      </c>
      <c r="F550" s="84">
        <f>0*C550/100</f>
        <v>0</v>
      </c>
      <c r="G550" s="84">
        <f>0*C550/100</f>
        <v>0</v>
      </c>
    </row>
    <row r="551" spans="1:7" s="13" customFormat="1" ht="65.25" customHeight="1">
      <c r="A551" s="82">
        <v>2</v>
      </c>
      <c r="B551" s="75" t="s">
        <v>166</v>
      </c>
      <c r="C551" s="76">
        <v>80</v>
      </c>
      <c r="D551" s="77">
        <f>0.4*C551/100</f>
        <v>0.32</v>
      </c>
      <c r="E551" s="77">
        <f>0.3*C551/100</f>
        <v>0.24</v>
      </c>
      <c r="F551" s="77">
        <f>10.3*C551/100</f>
        <v>8.24</v>
      </c>
      <c r="G551" s="77">
        <f>47*C551/100</f>
        <v>37.6</v>
      </c>
    </row>
    <row r="552" spans="1:7" s="13" customFormat="1" ht="58.5" customHeight="1">
      <c r="A552" s="82"/>
      <c r="B552" s="72" t="s">
        <v>3</v>
      </c>
      <c r="C552" s="80"/>
      <c r="D552" s="81">
        <f t="shared" ref="D552:G552" si="93">SUM(D550:D551)</f>
        <v>0.32</v>
      </c>
      <c r="E552" s="81">
        <f t="shared" si="93"/>
        <v>0.24</v>
      </c>
      <c r="F552" s="81">
        <f t="shared" si="93"/>
        <v>8.24</v>
      </c>
      <c r="G552" s="81">
        <f t="shared" si="93"/>
        <v>37.6</v>
      </c>
    </row>
    <row r="553" spans="1:7" s="13" customFormat="1" ht="68.25" customHeight="1">
      <c r="A553" s="132" t="s">
        <v>4</v>
      </c>
      <c r="B553" s="127"/>
      <c r="C553" s="127"/>
      <c r="D553" s="127"/>
      <c r="E553" s="127"/>
      <c r="F553" s="127"/>
      <c r="G553" s="127"/>
    </row>
    <row r="554" spans="1:7" s="13" customFormat="1" ht="78.75" customHeight="1">
      <c r="A554" s="82">
        <v>1</v>
      </c>
      <c r="B554" s="93" t="s">
        <v>125</v>
      </c>
      <c r="C554" s="76">
        <v>60</v>
      </c>
      <c r="D554" s="77">
        <f>0.99*C554/100</f>
        <v>0.59399999999999997</v>
      </c>
      <c r="E554" s="77">
        <f>14.13*C554/100</f>
        <v>8.4780000000000015</v>
      </c>
      <c r="F554" s="77">
        <f>2.42*C554/100</f>
        <v>1.452</v>
      </c>
      <c r="G554" s="77">
        <f>141.44*C554/100</f>
        <v>84.86399999999999</v>
      </c>
    </row>
    <row r="555" spans="1:7" s="7" customFormat="1" ht="59.25" customHeight="1">
      <c r="A555" s="82">
        <v>2</v>
      </c>
      <c r="B555" s="75" t="s">
        <v>72</v>
      </c>
      <c r="C555" s="76">
        <v>200</v>
      </c>
      <c r="D555" s="77">
        <f>2.69*C555/100</f>
        <v>5.38</v>
      </c>
      <c r="E555" s="77">
        <f>1.84*C555/100</f>
        <v>3.68</v>
      </c>
      <c r="F555" s="77">
        <f>3.52*C555/100</f>
        <v>7.04</v>
      </c>
      <c r="G555" s="77">
        <f>58.84*C555/100</f>
        <v>117.68</v>
      </c>
    </row>
    <row r="556" spans="1:7" s="7" customFormat="1" ht="66" customHeight="1">
      <c r="A556" s="82">
        <v>3</v>
      </c>
      <c r="B556" s="75" t="s">
        <v>82</v>
      </c>
      <c r="C556" s="76">
        <v>70</v>
      </c>
      <c r="D556" s="77">
        <f>28.25*C556/100</f>
        <v>19.774999999999999</v>
      </c>
      <c r="E556" s="77">
        <f>4.37*C556/100</f>
        <v>3.0590000000000002</v>
      </c>
      <c r="F556" s="77">
        <f>0*C556/100</f>
        <v>0</v>
      </c>
      <c r="G556" s="77">
        <f>143.44*C556/100</f>
        <v>100.40799999999999</v>
      </c>
    </row>
    <row r="557" spans="1:7" s="13" customFormat="1" ht="76.5" customHeight="1">
      <c r="A557" s="82">
        <v>4</v>
      </c>
      <c r="B557" s="75" t="s">
        <v>7</v>
      </c>
      <c r="C557" s="76">
        <v>150</v>
      </c>
      <c r="D557" s="77">
        <f>2.38*C557/100</f>
        <v>3.57</v>
      </c>
      <c r="E557" s="77">
        <f>4.43*C557/100</f>
        <v>6.6449999999999996</v>
      </c>
      <c r="F557" s="77">
        <f>19.46*C557/100</f>
        <v>29.19</v>
      </c>
      <c r="G557" s="77">
        <f>143.17*C557/100</f>
        <v>214.75499999999997</v>
      </c>
    </row>
    <row r="558" spans="1:7" s="13" customFormat="1" ht="67.5" customHeight="1">
      <c r="A558" s="82">
        <v>5</v>
      </c>
      <c r="B558" s="75" t="s">
        <v>197</v>
      </c>
      <c r="C558" s="76">
        <v>200</v>
      </c>
      <c r="D558" s="77">
        <f>0.09*C558/100</f>
        <v>0.18</v>
      </c>
      <c r="E558" s="77">
        <f>0.02*C558/100</f>
        <v>0.04</v>
      </c>
      <c r="F558" s="77">
        <f>9.1*C558/100</f>
        <v>18.2</v>
      </c>
      <c r="G558" s="77">
        <f>27.67*C558/100</f>
        <v>55.34</v>
      </c>
    </row>
    <row r="559" spans="1:7" s="7" customFormat="1" ht="63.75" customHeight="1">
      <c r="A559" s="82">
        <v>6</v>
      </c>
      <c r="B559" s="75" t="s">
        <v>56</v>
      </c>
      <c r="C559" s="76">
        <v>20</v>
      </c>
      <c r="D559" s="77">
        <f>7.76*C559/100</f>
        <v>1.5519999999999998</v>
      </c>
      <c r="E559" s="77">
        <f>2.65*C559/100</f>
        <v>0.53</v>
      </c>
      <c r="F559" s="77">
        <f>53.25*C559/100</f>
        <v>10.65</v>
      </c>
      <c r="G559" s="77">
        <f>273*C559/100</f>
        <v>54.6</v>
      </c>
    </row>
    <row r="560" spans="1:7" s="7" customFormat="1" ht="72" customHeight="1">
      <c r="A560" s="82">
        <v>7</v>
      </c>
      <c r="B560" s="75" t="s">
        <v>224</v>
      </c>
      <c r="C560" s="76">
        <v>20</v>
      </c>
      <c r="D560" s="77">
        <f>5.86*C560/100</f>
        <v>1.1719999999999999</v>
      </c>
      <c r="E560" s="77">
        <f>0.94*C560/100</f>
        <v>0.18799999999999997</v>
      </c>
      <c r="F560" s="77">
        <f>44.4*C560/100</f>
        <v>8.8800000000000008</v>
      </c>
      <c r="G560" s="77">
        <f>189*C560/100</f>
        <v>37.799999999999997</v>
      </c>
    </row>
    <row r="561" spans="1:7" s="7" customFormat="1" ht="69" customHeight="1">
      <c r="A561" s="82"/>
      <c r="B561" s="72" t="s">
        <v>3</v>
      </c>
      <c r="C561" s="80"/>
      <c r="D561" s="89">
        <f t="shared" ref="D561:F561" si="94">SUM(D554:D560)</f>
        <v>32.222999999999999</v>
      </c>
      <c r="E561" s="89">
        <f t="shared" si="94"/>
        <v>22.62</v>
      </c>
      <c r="F561" s="89">
        <f t="shared" si="94"/>
        <v>75.412000000000006</v>
      </c>
      <c r="G561" s="89">
        <f>SUM(G554:G560)</f>
        <v>665.447</v>
      </c>
    </row>
    <row r="562" spans="1:7" s="7" customFormat="1" ht="77.25" customHeight="1">
      <c r="A562" s="132" t="s">
        <v>15</v>
      </c>
      <c r="B562" s="127"/>
      <c r="C562" s="127"/>
      <c r="D562" s="127"/>
      <c r="E562" s="127"/>
      <c r="F562" s="127"/>
      <c r="G562" s="127"/>
    </row>
    <row r="563" spans="1:7" s="7" customFormat="1" ht="78" customHeight="1">
      <c r="A563" s="82">
        <v>1</v>
      </c>
      <c r="B563" s="88" t="s">
        <v>232</v>
      </c>
      <c r="C563" s="76">
        <v>60</v>
      </c>
      <c r="D563" s="77">
        <f>0.79*C563/100</f>
        <v>0.47400000000000003</v>
      </c>
      <c r="E563" s="77">
        <f>7.06*C563/100</f>
        <v>4.2359999999999998</v>
      </c>
      <c r="F563" s="77">
        <f>7.08*C563/100</f>
        <v>4.2480000000000002</v>
      </c>
      <c r="G563" s="77">
        <f>96.77*C563/100</f>
        <v>58.061999999999998</v>
      </c>
    </row>
    <row r="564" spans="1:7" s="7" customFormat="1" ht="62.25" customHeight="1">
      <c r="A564" s="82">
        <v>2</v>
      </c>
      <c r="B564" s="75" t="s">
        <v>177</v>
      </c>
      <c r="C564" s="76">
        <v>200</v>
      </c>
      <c r="D564" s="79">
        <f>0.07*C564/100</f>
        <v>0.14000000000000001</v>
      </c>
      <c r="E564" s="79">
        <f>0*C564/100</f>
        <v>0</v>
      </c>
      <c r="F564" s="79">
        <f>9.24*C564/100</f>
        <v>18.48</v>
      </c>
      <c r="G564" s="79">
        <f>28.66*C564/100</f>
        <v>57.32</v>
      </c>
    </row>
    <row r="565" spans="1:7" s="7" customFormat="1" ht="61.5" customHeight="1">
      <c r="A565" s="82">
        <v>3</v>
      </c>
      <c r="B565" s="100" t="s">
        <v>126</v>
      </c>
      <c r="C565" s="76">
        <v>50</v>
      </c>
      <c r="D565" s="77">
        <f>13.29*C565/100</f>
        <v>6.6449999999999996</v>
      </c>
      <c r="E565" s="77">
        <f>15*C565/100</f>
        <v>7.5</v>
      </c>
      <c r="F565" s="77">
        <f>46.68*C565/100</f>
        <v>23.34</v>
      </c>
      <c r="G565" s="104">
        <f>376.45*C565/100</f>
        <v>188.22499999999999</v>
      </c>
    </row>
    <row r="566" spans="1:7" s="7" customFormat="1" ht="51" customHeight="1">
      <c r="A566" s="95"/>
      <c r="B566" s="72" t="s">
        <v>3</v>
      </c>
      <c r="C566" s="76"/>
      <c r="D566" s="81">
        <f t="shared" ref="D566:G566" si="95">SUM(D563:D565)</f>
        <v>7.2589999999999995</v>
      </c>
      <c r="E566" s="81">
        <f t="shared" si="95"/>
        <v>11.736000000000001</v>
      </c>
      <c r="F566" s="81">
        <f t="shared" si="95"/>
        <v>46.067999999999998</v>
      </c>
      <c r="G566" s="81">
        <f t="shared" si="95"/>
        <v>303.60699999999997</v>
      </c>
    </row>
    <row r="567" spans="1:7" s="46" customFormat="1" ht="36" customHeight="1">
      <c r="A567" s="82"/>
      <c r="B567" s="72" t="s">
        <v>6</v>
      </c>
      <c r="C567" s="80"/>
      <c r="D567" s="89">
        <f t="shared" ref="D567:G567" si="96">D548+D552+D561+D566</f>
        <v>52.402000000000001</v>
      </c>
      <c r="E567" s="89">
        <f t="shared" si="96"/>
        <v>56.866</v>
      </c>
      <c r="F567" s="89">
        <f t="shared" si="96"/>
        <v>185.76999999999998</v>
      </c>
      <c r="G567" s="89">
        <f t="shared" si="96"/>
        <v>1484.5740000000001</v>
      </c>
    </row>
    <row r="568" spans="1:7" s="7" customFormat="1" ht="63.75" customHeight="1">
      <c r="A568" s="82"/>
      <c r="B568" s="121" t="s">
        <v>66</v>
      </c>
      <c r="C568" s="122"/>
      <c r="D568" s="123">
        <f t="shared" ref="D568:G568" si="97">(D455+D483+D511+D540+D567)/5</f>
        <v>55.069299999999998</v>
      </c>
      <c r="E568" s="123">
        <f t="shared" si="97"/>
        <v>58.08</v>
      </c>
      <c r="F568" s="123">
        <f t="shared" si="97"/>
        <v>197.89159999999998</v>
      </c>
      <c r="G568" s="123">
        <f t="shared" si="97"/>
        <v>1557.12042</v>
      </c>
    </row>
    <row r="569" spans="1:7" s="7" customFormat="1" ht="88.5" customHeight="1">
      <c r="A569" s="112"/>
      <c r="B569" s="118" t="s">
        <v>67</v>
      </c>
      <c r="C569" s="119"/>
      <c r="D569" s="120">
        <f t="shared" ref="D569:G569" si="98">(D150+D291+D428+D568)/4</f>
        <v>57.647424999999998</v>
      </c>
      <c r="E569" s="120">
        <f t="shared" si="98"/>
        <v>64.529025000000004</v>
      </c>
      <c r="F569" s="120">
        <f t="shared" si="98"/>
        <v>199.77932499999997</v>
      </c>
      <c r="G569" s="120">
        <f t="shared" si="98"/>
        <v>1640.1997650000001</v>
      </c>
    </row>
    <row r="570" spans="1:7" s="7" customFormat="1" ht="18.75" customHeight="1">
      <c r="A570" s="113"/>
      <c r="B570" s="114"/>
      <c r="C570" s="115"/>
      <c r="D570" s="116"/>
      <c r="E570" s="116"/>
      <c r="F570" s="116"/>
      <c r="G570" s="117"/>
    </row>
    <row r="571" spans="1:7" s="13" customFormat="1" ht="18.75" customHeight="1">
      <c r="A571" s="65"/>
      <c r="B571" s="62"/>
      <c r="C571" s="63"/>
      <c r="D571" s="64"/>
      <c r="E571" s="64"/>
      <c r="F571" s="64"/>
      <c r="G571" s="58"/>
    </row>
    <row r="572" spans="1:7" s="13" customFormat="1" ht="18.75" customHeight="1">
      <c r="A572" s="65"/>
      <c r="B572" s="62"/>
      <c r="C572" s="63"/>
      <c r="D572" s="64"/>
      <c r="E572" s="64"/>
      <c r="F572" s="64"/>
      <c r="G572" s="58"/>
    </row>
    <row r="573" spans="1:7" s="7" customFormat="1" ht="18.75" customHeight="1">
      <c r="A573" s="57"/>
      <c r="B573" s="66" t="s">
        <v>23</v>
      </c>
      <c r="C573" s="63"/>
      <c r="D573" s="64"/>
      <c r="E573" s="64"/>
      <c r="F573" s="64"/>
      <c r="G573" s="58"/>
    </row>
    <row r="574" spans="1:7" s="13" customFormat="1" ht="23.25">
      <c r="A574" s="57"/>
      <c r="B574" s="62" t="s">
        <v>159</v>
      </c>
      <c r="C574" s="63"/>
      <c r="D574" s="67">
        <f t="array" ref="D574">SUM(D15,D44,D72,D100,D129)/5</f>
        <v>13.827800000000002</v>
      </c>
      <c r="E574" s="67">
        <f t="array" ref="E574">SUM(E15,E44,E72,E100,E129)/5</f>
        <v>17.297400000000003</v>
      </c>
      <c r="F574" s="67">
        <f t="array" ref="F574">SUM(F15,F44,F72,F100,F129)/5</f>
        <v>45.8324</v>
      </c>
      <c r="G574" s="67">
        <f t="array" ref="G574">SUM(G15,G44,G72,G100,G129)/5</f>
        <v>401.12479999999999</v>
      </c>
    </row>
    <row r="575" spans="1:7" s="13" customFormat="1" ht="23.25">
      <c r="A575" s="57"/>
      <c r="B575" s="62" t="s">
        <v>24</v>
      </c>
      <c r="C575" s="63"/>
      <c r="D575" s="67">
        <f t="array" ref="D575">D574+SUM(D19,D48,D76,D104,D133)/5</f>
        <v>14.451800000000002</v>
      </c>
      <c r="E575" s="67">
        <f t="array" ref="E575">E574+SUM(E19,E48,E76,E104,E133)/5</f>
        <v>17.585400000000003</v>
      </c>
      <c r="F575" s="67">
        <f t="array" ref="F575">F574+SUM(F19,F48,F76,F104,F133)/5</f>
        <v>54.904399999999995</v>
      </c>
      <c r="G575" s="67">
        <f t="array" ref="G575">G574+SUM(G19,G48,G76,G104,G133)/5</f>
        <v>445.12479999999999</v>
      </c>
    </row>
    <row r="576" spans="1:7" s="7" customFormat="1" ht="23.25">
      <c r="A576" s="57"/>
      <c r="B576" s="62" t="s">
        <v>160</v>
      </c>
      <c r="C576" s="63"/>
      <c r="D576" s="67">
        <f t="array" ref="D576">D575+SUM(D28,D58,D86,D113,D142)/5</f>
        <v>40.824600000000004</v>
      </c>
      <c r="E576" s="67">
        <f t="array" ref="E576">E575+SUM(E28,E58,E86,E113,E142)/5</f>
        <v>44.066400000000002</v>
      </c>
      <c r="F576" s="67">
        <f t="array" ref="F576">F575+SUM(F28,F58,F86,F113,F142)/5</f>
        <v>131.58920000000001</v>
      </c>
      <c r="G576" s="67">
        <f t="array" ref="G576">G575+SUM(G28,G58,G86,G113,G142)/5</f>
        <v>1102.1870000000001</v>
      </c>
    </row>
    <row r="577" spans="1:7" s="7" customFormat="1" ht="18.75" customHeight="1">
      <c r="A577" s="57"/>
      <c r="B577" s="62"/>
      <c r="C577" s="63"/>
      <c r="D577" s="68"/>
      <c r="E577" s="68"/>
      <c r="F577" s="68"/>
      <c r="G577" s="67"/>
    </row>
    <row r="578" spans="1:7" ht="18.75" customHeight="1">
      <c r="A578" s="57"/>
      <c r="B578" s="62" t="s">
        <v>25</v>
      </c>
      <c r="C578" s="63"/>
      <c r="D578" s="68"/>
      <c r="E578" s="68"/>
      <c r="F578" s="68"/>
      <c r="G578" s="67"/>
    </row>
    <row r="579" spans="1:7" ht="18.75" customHeight="1">
      <c r="A579" s="57"/>
      <c r="B579" s="62" t="s">
        <v>159</v>
      </c>
      <c r="C579" s="63"/>
      <c r="D579" s="67">
        <f t="shared" ref="D579:G579" si="99">SUM(D157,D187,D214,D242,D269)/5</f>
        <v>14.910600000000002</v>
      </c>
      <c r="E579" s="67">
        <f t="shared" si="99"/>
        <v>17.317399999999999</v>
      </c>
      <c r="F579" s="67">
        <f t="shared" si="99"/>
        <v>50.378</v>
      </c>
      <c r="G579" s="67">
        <f t="shared" si="99"/>
        <v>420.48079999999999</v>
      </c>
    </row>
    <row r="580" spans="1:7" s="7" customFormat="1" ht="23.25">
      <c r="A580" s="57"/>
      <c r="B580" s="62" t="s">
        <v>24</v>
      </c>
      <c r="C580" s="63"/>
      <c r="D580" s="68">
        <f t="array" ref="D580">D579+SUM(D161,D191,D218,D246,D273)/5</f>
        <v>15.662600000000003</v>
      </c>
      <c r="E580" s="68">
        <f t="array" ref="E580">E579+SUM(E161,E191,E218,E246,E273)/5</f>
        <v>17.621399999999998</v>
      </c>
      <c r="F580" s="68">
        <f t="array" ref="F580">F579+SUM(F161,F191,F218,F246,F273)/5</f>
        <v>61.61</v>
      </c>
      <c r="G580" s="68">
        <f t="array" ref="G580">G579+SUM(G161,G191,G218,G246,G273)/5</f>
        <v>473.12079999999997</v>
      </c>
    </row>
    <row r="581" spans="1:7" s="7" customFormat="1" ht="18" customHeight="1">
      <c r="A581" s="57"/>
      <c r="B581" s="62" t="s">
        <v>160</v>
      </c>
      <c r="C581" s="63"/>
      <c r="D581" s="68">
        <f t="array" ref="D581">D580+SUM(D171,D200,D227,D254,D282)/5</f>
        <v>39.868400000000001</v>
      </c>
      <c r="E581" s="68">
        <f t="array" ref="E581">E580+SUM(E171,E200,E227,E254,E282)/5</f>
        <v>44.007599999999996</v>
      </c>
      <c r="F581" s="68">
        <f t="array" ref="F581">F580+SUM(F171,F200,F227,F254,F282)/5</f>
        <v>140.3048</v>
      </c>
      <c r="G581" s="68">
        <f t="array" ref="G581">G580+SUM(G171,G200,G227,G254,G282)/5</f>
        <v>1128.6333199999999</v>
      </c>
    </row>
    <row r="582" spans="1:7" s="13" customFormat="1" ht="18.75" customHeight="1">
      <c r="A582" s="57"/>
      <c r="B582" s="62"/>
      <c r="C582" s="63"/>
      <c r="D582" s="68"/>
      <c r="E582" s="68"/>
      <c r="F582" s="68"/>
      <c r="G582" s="67"/>
    </row>
    <row r="583" spans="1:7" s="13" customFormat="1" ht="18.75" customHeight="1">
      <c r="A583" s="57"/>
      <c r="B583" s="62" t="s">
        <v>26</v>
      </c>
      <c r="C583" s="63"/>
      <c r="D583" s="68"/>
      <c r="E583" s="68"/>
      <c r="F583" s="68"/>
      <c r="G583" s="67"/>
    </row>
    <row r="584" spans="1:7" s="13" customFormat="1" ht="23.25">
      <c r="A584" s="57"/>
      <c r="B584" s="62" t="s">
        <v>159</v>
      </c>
      <c r="C584" s="63"/>
      <c r="D584" s="67">
        <f t="shared" ref="D584:G584" si="100">SUM(D298,D325,D353,D381,D409)/5</f>
        <v>15.043800000000001</v>
      </c>
      <c r="E584" s="67">
        <f t="shared" si="100"/>
        <v>18.5154</v>
      </c>
      <c r="F584" s="67">
        <f t="shared" si="100"/>
        <v>47.791600000000003</v>
      </c>
      <c r="G584" s="67">
        <f t="shared" si="100"/>
        <v>426.49279999999999</v>
      </c>
    </row>
    <row r="585" spans="1:7" s="13" customFormat="1" ht="23.25">
      <c r="A585" s="57"/>
      <c r="B585" s="62" t="s">
        <v>24</v>
      </c>
      <c r="C585" s="63"/>
      <c r="D585" s="67">
        <f t="array" ref="D585">D584+SUM(D302,D329,D357,D385,D413)/5</f>
        <v>15.603800000000001</v>
      </c>
      <c r="E585" s="67">
        <f t="array" ref="E585">E584+SUM(E302,E329,E357,E385,E413)/5</f>
        <v>18.8354</v>
      </c>
      <c r="F585" s="67">
        <f t="array" ref="F585">F584+SUM(F302,F329,F357,F385,F413)/5</f>
        <v>57.2316</v>
      </c>
      <c r="G585" s="67">
        <f t="array" ref="G585">G584+SUM(G302,G329,G357,G385,G413)/5</f>
        <v>471.93279999999999</v>
      </c>
    </row>
    <row r="586" spans="1:7" s="7" customFormat="1" ht="18.75" customHeight="1">
      <c r="A586" s="57"/>
      <c r="B586" s="62" t="s">
        <v>160</v>
      </c>
      <c r="C586" s="63"/>
      <c r="D586" s="67">
        <f t="array" ref="D586">D585+SUM(D311,D338,D366,D394,D421)/5</f>
        <v>39.673000000000002</v>
      </c>
      <c r="E586" s="67">
        <f t="array" ref="E586">E585+SUM(E311,E338,E366,E394,E421)/5</f>
        <v>46.262</v>
      </c>
      <c r="F586" s="67">
        <f t="array" ref="F586">F585+SUM(F311,F338,F366,F394,F421)/5</f>
        <v>135.61680000000001</v>
      </c>
      <c r="G586" s="67">
        <f t="array" ref="G586">G585+SUM(G311,G338,G366,G394,G421)/5</f>
        <v>1135.8905999999999</v>
      </c>
    </row>
    <row r="587" spans="1:7" s="13" customFormat="1" ht="18.75" customHeight="1">
      <c r="A587" s="57"/>
      <c r="B587" s="62"/>
      <c r="C587" s="63"/>
      <c r="D587" s="68"/>
      <c r="E587" s="68"/>
      <c r="F587" s="68"/>
      <c r="G587" s="67"/>
    </row>
    <row r="588" spans="1:7" s="13" customFormat="1" ht="18.75" customHeight="1">
      <c r="A588" s="57"/>
      <c r="B588" s="62" t="s">
        <v>27</v>
      </c>
      <c r="C588" s="63"/>
      <c r="D588" s="68"/>
      <c r="E588" s="68"/>
      <c r="F588" s="68"/>
      <c r="G588" s="67"/>
    </row>
    <row r="589" spans="1:7" s="7" customFormat="1" ht="18.75" customHeight="1">
      <c r="A589" s="57"/>
      <c r="B589" s="62" t="s">
        <v>159</v>
      </c>
      <c r="C589" s="63"/>
      <c r="D589" s="67">
        <f t="array" ref="D589">SUM(D435,D463,D490,D518,D548)/5</f>
        <v>12.9192</v>
      </c>
      <c r="E589" s="67">
        <f t="array" ref="E589">SUM(E435,E463,E490,E518,E548)/5</f>
        <v>17.3796</v>
      </c>
      <c r="F589" s="67">
        <f t="array" ref="F589">SUM(F435,F463,F490,F518,F548)/5</f>
        <v>48.974000000000004</v>
      </c>
      <c r="G589" s="67">
        <f t="array" ref="G589">SUM(G435,G463,G490,G518,G548)/5</f>
        <v>411.4896</v>
      </c>
    </row>
    <row r="590" spans="1:7" s="7" customFormat="1" ht="18.75" customHeight="1">
      <c r="A590" s="57"/>
      <c r="B590" s="62" t="s">
        <v>24</v>
      </c>
      <c r="C590" s="63"/>
      <c r="D590" s="67">
        <f t="array" ref="D590">D589+SUM(D439,D467,D494,D522,D552)/5</f>
        <v>13.479200000000001</v>
      </c>
      <c r="E590" s="67">
        <f t="array" ref="E590">E589+SUM(E439,E467,E494,E522,E552)/5</f>
        <v>17.651599999999998</v>
      </c>
      <c r="F590" s="67">
        <f t="array" ref="F590">F589+SUM(F439,F467,F494,F522,F552)/5</f>
        <v>58.398000000000003</v>
      </c>
      <c r="G590" s="67">
        <f t="array" ref="G590">G589+SUM(G439,G467,G494,G522,G552)/5</f>
        <v>455.4896</v>
      </c>
    </row>
    <row r="591" spans="1:7" ht="23.25">
      <c r="A591" s="57"/>
      <c r="B591" s="62" t="s">
        <v>160</v>
      </c>
      <c r="C591" s="63"/>
      <c r="D591" s="67">
        <f t="array" ref="D591">D590+SUM(D447,D476,D503,D532,D561)/5</f>
        <v>39.824800000000003</v>
      </c>
      <c r="E591" s="67">
        <f t="array" ref="E591">E590+SUM(E447,E476,E503,E532,E561)/5</f>
        <v>44.318199999999997</v>
      </c>
      <c r="F591" s="67">
        <f t="array" ref="F591">F590+SUM(F447,F476,F503,F532,F561)/5</f>
        <v>135.18620000000001</v>
      </c>
      <c r="G591" s="67">
        <f t="array" ref="G591">G590+SUM(G447,G476,G503,G532,G561)/5</f>
        <v>1122.3635199999999</v>
      </c>
    </row>
    <row r="592" spans="1:7" s="7" customFormat="1" ht="23.25">
      <c r="A592" s="57"/>
      <c r="B592" s="62"/>
      <c r="C592" s="63"/>
      <c r="D592" s="68"/>
      <c r="E592" s="68"/>
      <c r="F592" s="68"/>
      <c r="G592" s="67"/>
    </row>
    <row r="593" spans="1:7" s="13" customFormat="1" ht="18.75" customHeight="1">
      <c r="A593" s="57"/>
      <c r="B593" s="62" t="s">
        <v>28</v>
      </c>
      <c r="C593" s="63"/>
      <c r="D593" s="68"/>
      <c r="E593" s="68"/>
      <c r="F593" s="68"/>
      <c r="G593" s="67"/>
    </row>
    <row r="594" spans="1:7" s="7" customFormat="1" ht="18.75" customHeight="1">
      <c r="A594" s="57"/>
      <c r="B594" s="62" t="s">
        <v>29</v>
      </c>
      <c r="C594" s="63"/>
      <c r="D594" s="68">
        <f t="shared" ref="D594:G594" si="101">(D574+D579+D584+D589)/4</f>
        <v>14.175350000000002</v>
      </c>
      <c r="E594" s="68">
        <f t="shared" si="101"/>
        <v>17.62745</v>
      </c>
      <c r="F594" s="68">
        <f t="shared" si="101"/>
        <v>48.244</v>
      </c>
      <c r="G594" s="67">
        <f t="shared" si="101"/>
        <v>414.89699999999993</v>
      </c>
    </row>
    <row r="595" spans="1:7" s="7" customFormat="1" ht="18.75" customHeight="1">
      <c r="A595" s="57"/>
      <c r="B595" s="62" t="s">
        <v>30</v>
      </c>
      <c r="C595" s="63"/>
      <c r="D595" s="68">
        <f t="shared" ref="D595:G595" si="102">(D575+D580+D585+D590)/4</f>
        <v>14.79935</v>
      </c>
      <c r="E595" s="68">
        <f t="shared" si="102"/>
        <v>17.923449999999999</v>
      </c>
      <c r="F595" s="68">
        <f t="shared" si="102"/>
        <v>58.035999999999994</v>
      </c>
      <c r="G595" s="67">
        <f t="shared" si="102"/>
        <v>461.41700000000003</v>
      </c>
    </row>
    <row r="596" spans="1:7" s="7" customFormat="1" ht="18.75" customHeight="1">
      <c r="A596" s="57"/>
      <c r="B596" s="62" t="s">
        <v>31</v>
      </c>
      <c r="C596" s="63"/>
      <c r="D596" s="68">
        <f t="shared" ref="D596:G596" si="103">(D576+D581+D586+D591)/4</f>
        <v>40.047700000000006</v>
      </c>
      <c r="E596" s="68">
        <f t="shared" si="103"/>
        <v>44.663550000000001</v>
      </c>
      <c r="F596" s="68">
        <f t="shared" si="103"/>
        <v>135.67425</v>
      </c>
      <c r="G596" s="67">
        <f t="shared" si="103"/>
        <v>1122.2686099999999</v>
      </c>
    </row>
    <row r="597" spans="1:7" s="7" customFormat="1" ht="18.75" customHeight="1">
      <c r="A597" s="57"/>
      <c r="B597" s="62"/>
      <c r="C597" s="63"/>
      <c r="D597" s="64"/>
      <c r="E597" s="64"/>
      <c r="F597" s="64"/>
      <c r="G597" s="58"/>
    </row>
    <row r="598" spans="1:7" s="7" customFormat="1" ht="18.75" customHeight="1">
      <c r="A598" s="25"/>
      <c r="B598" s="27"/>
      <c r="C598" s="26"/>
      <c r="D598" s="29"/>
      <c r="E598" s="29"/>
      <c r="F598" s="29"/>
      <c r="G598" s="24"/>
    </row>
    <row r="599" spans="1:7" s="7" customFormat="1" ht="18.75" customHeight="1">
      <c r="A599" s="25"/>
      <c r="B599" s="27"/>
      <c r="C599" s="26"/>
      <c r="D599" s="29"/>
      <c r="E599" s="29"/>
      <c r="F599" s="29"/>
      <c r="G599" s="24"/>
    </row>
    <row r="600" spans="1:7" s="7" customFormat="1" ht="18.75" customHeight="1">
      <c r="A600" s="25"/>
      <c r="B600" s="27"/>
      <c r="C600" s="26"/>
      <c r="D600" s="29"/>
      <c r="E600" s="29"/>
      <c r="F600" s="29"/>
      <c r="G600" s="24"/>
    </row>
    <row r="601" spans="1:7" s="7" customFormat="1" ht="18.75" customHeight="1">
      <c r="A601" s="25"/>
      <c r="B601" s="27"/>
      <c r="C601" s="26"/>
      <c r="D601" s="29"/>
      <c r="E601" s="29"/>
      <c r="F601" s="29"/>
      <c r="G601" s="24"/>
    </row>
    <row r="602" spans="1:7" s="13" customFormat="1" ht="36" customHeight="1">
      <c r="A602" s="25"/>
      <c r="B602" s="27"/>
      <c r="C602" s="26"/>
      <c r="D602" s="29"/>
      <c r="E602" s="29"/>
      <c r="F602" s="29"/>
      <c r="G602" s="24"/>
    </row>
    <row r="603" spans="1:7" s="13" customFormat="1" ht="18.75" customHeight="1">
      <c r="A603" s="25"/>
      <c r="B603" s="27"/>
      <c r="C603" s="26"/>
      <c r="D603" s="29"/>
      <c r="E603" s="29"/>
      <c r="F603" s="29"/>
      <c r="G603" s="24"/>
    </row>
    <row r="604" spans="1:7" s="13" customFormat="1" ht="37.5" customHeight="1">
      <c r="A604" s="25"/>
      <c r="B604" s="27"/>
      <c r="C604" s="26"/>
      <c r="D604" s="29"/>
      <c r="E604" s="29"/>
      <c r="F604" s="29"/>
      <c r="G604" s="24"/>
    </row>
    <row r="605" spans="1:7" s="13" customFormat="1" ht="18.75" customHeight="1">
      <c r="A605" s="25"/>
      <c r="B605" s="27"/>
      <c r="C605" s="26"/>
      <c r="D605" s="29"/>
      <c r="E605" s="29"/>
      <c r="F605" s="29"/>
      <c r="G605" s="24"/>
    </row>
    <row r="606" spans="1:7" s="7" customFormat="1" ht="18.75" customHeight="1">
      <c r="A606" s="25"/>
      <c r="B606" s="27"/>
      <c r="C606" s="26"/>
      <c r="D606" s="29"/>
      <c r="E606" s="29"/>
      <c r="F606" s="29"/>
      <c r="G606" s="24"/>
    </row>
    <row r="607" spans="1:7" s="7" customFormat="1" ht="18.75" customHeight="1">
      <c r="A607" s="25"/>
      <c r="B607" s="27"/>
      <c r="C607" s="26"/>
      <c r="D607" s="29"/>
      <c r="E607" s="29"/>
      <c r="F607" s="29"/>
      <c r="G607" s="24"/>
    </row>
    <row r="608" spans="1:7" s="7" customFormat="1" ht="18.75" customHeight="1">
      <c r="A608" s="25"/>
      <c r="B608" s="27"/>
      <c r="C608" s="26"/>
      <c r="D608" s="29"/>
      <c r="E608" s="29"/>
      <c r="F608" s="29"/>
      <c r="G608" s="24"/>
    </row>
    <row r="609" spans="1:7" s="7" customFormat="1" ht="18.75" customHeight="1">
      <c r="A609" s="25"/>
      <c r="B609" s="27"/>
      <c r="C609" s="26"/>
      <c r="D609" s="29"/>
      <c r="E609" s="29"/>
      <c r="F609" s="29"/>
      <c r="G609" s="24"/>
    </row>
    <row r="610" spans="1:7" s="7" customFormat="1" ht="18.75" customHeight="1">
      <c r="A610" s="25"/>
      <c r="B610" s="27"/>
      <c r="C610" s="26"/>
      <c r="D610" s="29"/>
      <c r="E610" s="29"/>
      <c r="F610" s="29"/>
      <c r="G610" s="24"/>
    </row>
    <row r="611" spans="1:7" s="7" customFormat="1" ht="18" customHeight="1">
      <c r="A611" s="25"/>
      <c r="B611" s="27"/>
      <c r="C611" s="26"/>
      <c r="D611" s="29"/>
      <c r="E611" s="29"/>
      <c r="F611" s="29"/>
      <c r="G611" s="24"/>
    </row>
    <row r="612" spans="1:7" s="13" customFormat="1" ht="18.75" customHeight="1">
      <c r="A612" s="25"/>
      <c r="B612" s="27"/>
      <c r="C612" s="26"/>
      <c r="D612" s="29"/>
      <c r="E612" s="29"/>
      <c r="F612" s="29"/>
      <c r="G612" s="24"/>
    </row>
    <row r="613" spans="1:7" s="13" customFormat="1" ht="37.5" customHeight="1">
      <c r="A613" s="25"/>
      <c r="B613" s="27"/>
      <c r="C613" s="26"/>
      <c r="D613" s="29"/>
      <c r="E613" s="29"/>
      <c r="F613" s="29"/>
      <c r="G613" s="24"/>
    </row>
    <row r="614" spans="1:7" s="13" customFormat="1" ht="18.75" customHeight="1">
      <c r="A614" s="25"/>
      <c r="B614" s="27"/>
      <c r="C614" s="26"/>
      <c r="D614" s="29"/>
      <c r="E614" s="29"/>
      <c r="F614" s="29"/>
      <c r="G614" s="24"/>
    </row>
    <row r="615" spans="1:7" s="13" customFormat="1" ht="18.75" customHeight="1">
      <c r="A615" s="25"/>
      <c r="B615" s="27"/>
      <c r="C615" s="26"/>
      <c r="D615" s="29"/>
      <c r="E615" s="29"/>
      <c r="F615" s="29"/>
      <c r="G615" s="24"/>
    </row>
    <row r="616" spans="1:7" s="13" customFormat="1" ht="18.75" customHeight="1">
      <c r="A616" s="25"/>
      <c r="B616" s="27"/>
      <c r="C616" s="26"/>
      <c r="D616" s="29"/>
      <c r="E616" s="29"/>
      <c r="F616" s="29"/>
      <c r="G616" s="24"/>
    </row>
    <row r="617" spans="1:7" s="13" customFormat="1" ht="18.75" customHeight="1">
      <c r="A617" s="25"/>
      <c r="B617" s="27"/>
      <c r="C617" s="26"/>
      <c r="D617" s="29"/>
      <c r="E617" s="29"/>
      <c r="F617" s="29"/>
      <c r="G617" s="24"/>
    </row>
    <row r="618" spans="1:7" s="13" customFormat="1" ht="18.75" customHeight="1">
      <c r="A618" s="25"/>
      <c r="B618" s="27"/>
      <c r="C618" s="26"/>
      <c r="D618" s="29"/>
      <c r="E618" s="29"/>
      <c r="F618" s="29"/>
      <c r="G618" s="24"/>
    </row>
    <row r="619" spans="1:7" s="7" customFormat="1" ht="18.75" customHeight="1">
      <c r="A619" s="25"/>
      <c r="B619" s="27"/>
      <c r="C619" s="26"/>
      <c r="D619" s="29"/>
      <c r="E619" s="29"/>
      <c r="F619" s="29"/>
      <c r="G619" s="24"/>
    </row>
    <row r="620" spans="1:7" s="7" customFormat="1" ht="18.75" customHeight="1">
      <c r="A620" s="25"/>
      <c r="B620" s="27"/>
      <c r="C620" s="26"/>
      <c r="D620" s="29"/>
      <c r="E620" s="29"/>
      <c r="F620" s="29"/>
      <c r="G620" s="24"/>
    </row>
    <row r="621" spans="1:7" s="13" customFormat="1" ht="18.75" customHeight="1">
      <c r="A621" s="25"/>
      <c r="B621" s="27"/>
      <c r="C621" s="26"/>
      <c r="D621" s="29"/>
      <c r="E621" s="29"/>
      <c r="F621" s="29"/>
      <c r="G621" s="24"/>
    </row>
    <row r="622" spans="1:7" s="13" customFormat="1" ht="18.75" customHeight="1">
      <c r="A622" s="25"/>
      <c r="B622" s="27"/>
      <c r="C622" s="26"/>
      <c r="D622" s="29"/>
      <c r="E622" s="29"/>
      <c r="F622" s="29"/>
      <c r="G622" s="24"/>
    </row>
    <row r="623" spans="1:7" s="13" customFormat="1">
      <c r="A623" s="25"/>
      <c r="B623" s="27"/>
      <c r="C623" s="26"/>
      <c r="D623" s="29"/>
      <c r="E623" s="29"/>
      <c r="F623" s="29"/>
      <c r="G623" s="24"/>
    </row>
    <row r="624" spans="1:7" s="7" customFormat="1">
      <c r="A624" s="25"/>
      <c r="B624" s="27"/>
      <c r="C624" s="26"/>
      <c r="D624" s="29"/>
      <c r="E624" s="29"/>
      <c r="F624" s="29"/>
      <c r="G624" s="24"/>
    </row>
    <row r="625" spans="1:8" s="7" customFormat="1" ht="18.75" customHeight="1">
      <c r="A625" s="25"/>
      <c r="B625" s="27"/>
      <c r="C625" s="26"/>
      <c r="D625" s="29"/>
      <c r="E625" s="29"/>
      <c r="F625" s="29"/>
      <c r="G625" s="24"/>
    </row>
    <row r="626" spans="1:8" s="7" customFormat="1">
      <c r="A626" s="25"/>
      <c r="B626" s="27"/>
      <c r="C626" s="26"/>
      <c r="D626" s="29"/>
      <c r="E626" s="29"/>
      <c r="F626" s="29"/>
      <c r="G626" s="24"/>
    </row>
    <row r="627" spans="1:8" s="11" customFormat="1">
      <c r="A627" s="25"/>
      <c r="B627" s="27"/>
      <c r="C627" s="26"/>
      <c r="D627" s="29"/>
      <c r="E627" s="29"/>
      <c r="F627" s="29"/>
      <c r="G627" s="24"/>
    </row>
    <row r="628" spans="1:8" s="7" customFormat="1">
      <c r="A628" s="25"/>
      <c r="B628" s="27"/>
      <c r="C628" s="26"/>
      <c r="D628" s="29"/>
      <c r="E628" s="29"/>
      <c r="F628" s="29"/>
      <c r="G628" s="24"/>
    </row>
    <row r="629" spans="1:8" s="7" customFormat="1">
      <c r="A629" s="25"/>
      <c r="B629" s="27"/>
      <c r="C629" s="26"/>
      <c r="D629" s="29"/>
      <c r="E629" s="29"/>
      <c r="F629" s="29"/>
      <c r="G629" s="24"/>
    </row>
    <row r="630" spans="1:8" s="7" customFormat="1">
      <c r="A630" s="25"/>
      <c r="B630" s="27"/>
      <c r="C630" s="26"/>
      <c r="D630" s="29"/>
      <c r="E630" s="29"/>
      <c r="F630" s="29"/>
      <c r="G630" s="24"/>
    </row>
    <row r="631" spans="1:8" s="7" customFormat="1" ht="18.75" customHeight="1">
      <c r="A631" s="25"/>
      <c r="B631" s="27"/>
      <c r="C631" s="26"/>
      <c r="D631" s="29"/>
      <c r="E631" s="29"/>
      <c r="F631" s="29"/>
      <c r="G631" s="24"/>
    </row>
    <row r="632" spans="1:8" s="7" customFormat="1">
      <c r="A632" s="25"/>
      <c r="B632" s="27"/>
      <c r="C632" s="26"/>
      <c r="D632" s="29"/>
      <c r="E632" s="29"/>
      <c r="F632" s="29"/>
      <c r="G632" s="24"/>
    </row>
    <row r="633" spans="1:8" s="7" customFormat="1">
      <c r="A633" s="25"/>
      <c r="B633" s="27"/>
      <c r="C633" s="26"/>
      <c r="D633" s="29"/>
      <c r="E633" s="29"/>
      <c r="F633" s="29"/>
      <c r="G633" s="24"/>
    </row>
    <row r="634" spans="1:8" s="7" customFormat="1">
      <c r="A634" s="25"/>
      <c r="B634" s="27"/>
      <c r="C634" s="26"/>
      <c r="D634" s="29"/>
      <c r="E634" s="29"/>
      <c r="F634" s="29"/>
      <c r="G634" s="24"/>
    </row>
    <row r="635" spans="1:8" s="7" customFormat="1" ht="18.75" customHeight="1">
      <c r="A635" s="25"/>
      <c r="B635" s="27"/>
      <c r="C635" s="26"/>
      <c r="D635" s="29"/>
      <c r="E635" s="29"/>
      <c r="F635" s="29"/>
      <c r="G635" s="24"/>
    </row>
    <row r="636" spans="1:8" s="7" customFormat="1" ht="18" customHeight="1">
      <c r="A636" s="25"/>
      <c r="B636" s="27"/>
      <c r="C636" s="26"/>
      <c r="D636" s="29"/>
      <c r="E636" s="29"/>
      <c r="F636" s="29"/>
      <c r="G636" s="24"/>
    </row>
    <row r="637" spans="1:8" s="13" customFormat="1">
      <c r="A637" s="25"/>
      <c r="B637" s="27"/>
      <c r="C637" s="26"/>
      <c r="D637" s="29"/>
      <c r="E637" s="29"/>
      <c r="F637" s="24"/>
      <c r="G637" s="24"/>
    </row>
    <row r="638" spans="1:8" s="13" customFormat="1" ht="18.75" customHeight="1">
      <c r="A638" s="25"/>
      <c r="B638" s="27"/>
      <c r="C638" s="26"/>
      <c r="D638" s="29"/>
      <c r="E638" s="29"/>
      <c r="F638" s="24"/>
      <c r="G638" s="24"/>
    </row>
    <row r="639" spans="1:8" s="11" customFormat="1">
      <c r="A639" s="25"/>
      <c r="B639" s="27"/>
      <c r="C639" s="26"/>
      <c r="D639" s="29"/>
      <c r="E639" s="29"/>
      <c r="F639" s="24"/>
      <c r="G639" s="24"/>
      <c r="H639" s="17"/>
    </row>
    <row r="640" spans="1:8" s="11" customFormat="1">
      <c r="A640" s="25"/>
      <c r="B640" s="27"/>
      <c r="C640" s="26"/>
      <c r="D640" s="29"/>
      <c r="E640" s="29"/>
      <c r="F640" s="24"/>
      <c r="G640" s="24"/>
      <c r="H640" s="17"/>
    </row>
    <row r="641" spans="1:8" s="7" customFormat="1">
      <c r="A641" s="25"/>
      <c r="B641" s="27"/>
      <c r="C641" s="26"/>
      <c r="D641" s="29"/>
      <c r="E641" s="29"/>
      <c r="F641" s="24"/>
      <c r="G641" s="24"/>
    </row>
    <row r="642" spans="1:8" s="7" customFormat="1" ht="18.75" customHeight="1">
      <c r="A642" s="25"/>
      <c r="B642" s="27"/>
      <c r="C642" s="26"/>
      <c r="D642" s="29"/>
      <c r="E642" s="29"/>
      <c r="F642" s="24"/>
      <c r="G642" s="24"/>
    </row>
    <row r="643" spans="1:8" s="14" customFormat="1">
      <c r="A643" s="25"/>
      <c r="B643" s="27"/>
      <c r="C643" s="26"/>
      <c r="D643" s="29"/>
      <c r="E643" s="29"/>
      <c r="F643" s="24"/>
      <c r="G643" s="24"/>
      <c r="H643" s="18"/>
    </row>
    <row r="644" spans="1:8" s="14" customFormat="1">
      <c r="A644" s="25"/>
      <c r="B644" s="27"/>
      <c r="C644" s="26"/>
      <c r="D644" s="29"/>
      <c r="E644" s="29"/>
      <c r="F644" s="24"/>
      <c r="G644" s="24"/>
      <c r="H644" s="18"/>
    </row>
    <row r="645" spans="1:8" s="7" customFormat="1">
      <c r="A645" s="25"/>
      <c r="B645" s="27"/>
      <c r="C645" s="26"/>
      <c r="D645" s="29"/>
      <c r="E645" s="29"/>
      <c r="F645" s="24"/>
      <c r="G645" s="24"/>
    </row>
    <row r="646" spans="1:8" s="7" customFormat="1" ht="18" customHeight="1">
      <c r="A646" s="25"/>
      <c r="B646" s="27"/>
      <c r="C646" s="26"/>
      <c r="D646" s="29"/>
      <c r="E646" s="29"/>
      <c r="F646" s="24"/>
      <c r="G646" s="24"/>
    </row>
    <row r="647" spans="1:8" s="13" customFormat="1">
      <c r="A647" s="25"/>
      <c r="B647" s="27"/>
      <c r="C647" s="26"/>
      <c r="D647" s="29"/>
      <c r="E647" s="29"/>
      <c r="F647" s="24"/>
      <c r="G647" s="24"/>
    </row>
    <row r="648" spans="1:8" s="13" customFormat="1">
      <c r="A648" s="25"/>
      <c r="B648" s="27"/>
      <c r="C648" s="26"/>
      <c r="D648" s="29"/>
      <c r="E648" s="29"/>
      <c r="F648" s="24"/>
      <c r="G648" s="24"/>
    </row>
    <row r="649" spans="1:8" s="13" customFormat="1">
      <c r="A649" s="25"/>
      <c r="B649" s="27"/>
      <c r="C649" s="26"/>
      <c r="D649" s="29"/>
      <c r="E649" s="29"/>
      <c r="F649" s="24"/>
      <c r="G649" s="24"/>
    </row>
    <row r="650" spans="1:8" s="13" customFormat="1">
      <c r="A650" s="25"/>
      <c r="B650" s="27"/>
      <c r="C650" s="26"/>
      <c r="D650" s="29"/>
      <c r="E650" s="29"/>
      <c r="F650" s="24"/>
      <c r="G650" s="24"/>
    </row>
    <row r="651" spans="1:8" s="13" customFormat="1">
      <c r="A651" s="25"/>
      <c r="B651" s="27"/>
      <c r="C651" s="26"/>
      <c r="D651" s="29"/>
      <c r="E651" s="29"/>
      <c r="F651" s="24"/>
      <c r="G651" s="24"/>
    </row>
    <row r="652" spans="1:8" s="13" customFormat="1">
      <c r="A652" s="25"/>
      <c r="B652" s="27"/>
      <c r="C652" s="26"/>
      <c r="D652" s="29"/>
      <c r="E652" s="29"/>
      <c r="F652" s="24"/>
      <c r="G652" s="24"/>
    </row>
    <row r="653" spans="1:8" s="13" customFormat="1">
      <c r="A653" s="25"/>
      <c r="B653" s="27"/>
      <c r="C653" s="26"/>
      <c r="D653" s="29"/>
      <c r="E653" s="29"/>
      <c r="F653" s="24"/>
      <c r="G653" s="24"/>
    </row>
    <row r="654" spans="1:8" s="13" customFormat="1">
      <c r="A654" s="25"/>
      <c r="B654" s="27"/>
      <c r="C654" s="26"/>
      <c r="D654" s="29"/>
      <c r="E654" s="29"/>
      <c r="F654" s="24"/>
      <c r="G654" s="24"/>
    </row>
    <row r="655" spans="1:8" s="7" customFormat="1">
      <c r="A655" s="25"/>
      <c r="B655" s="27"/>
      <c r="C655" s="26"/>
      <c r="D655" s="29"/>
      <c r="E655" s="29"/>
      <c r="F655" s="24"/>
      <c r="G655" s="24"/>
    </row>
    <row r="656" spans="1:8" s="7" customFormat="1" ht="18" customHeight="1">
      <c r="A656" s="25"/>
      <c r="B656" s="27"/>
      <c r="C656" s="26"/>
      <c r="D656" s="29"/>
      <c r="E656" s="29"/>
      <c r="F656" s="24"/>
      <c r="G656" s="24"/>
    </row>
    <row r="657" spans="1:7" s="13" customFormat="1">
      <c r="A657" s="25"/>
      <c r="B657" s="27"/>
      <c r="C657" s="26"/>
      <c r="D657" s="29"/>
      <c r="E657" s="29"/>
      <c r="F657" s="24"/>
      <c r="G657" s="24"/>
    </row>
    <row r="658" spans="1:7" s="13" customFormat="1">
      <c r="A658" s="25"/>
      <c r="B658" s="27"/>
      <c r="C658" s="26"/>
      <c r="D658" s="29"/>
      <c r="E658" s="29"/>
      <c r="F658" s="24"/>
      <c r="G658" s="24"/>
    </row>
    <row r="659" spans="1:7" s="11" customFormat="1">
      <c r="A659" s="25"/>
      <c r="B659" s="27"/>
      <c r="C659" s="26"/>
      <c r="D659" s="29"/>
      <c r="E659" s="29"/>
      <c r="F659" s="24"/>
      <c r="G659" s="24"/>
    </row>
    <row r="660" spans="1:7" s="7" customFormat="1">
      <c r="A660" s="25"/>
      <c r="B660" s="27"/>
      <c r="C660" s="26"/>
      <c r="D660" s="29"/>
      <c r="E660" s="29"/>
      <c r="F660" s="24"/>
      <c r="G660" s="24"/>
    </row>
    <row r="661" spans="1:7" s="7" customFormat="1" ht="18.75" customHeight="1">
      <c r="A661" s="25"/>
      <c r="B661" s="27"/>
      <c r="C661" s="26"/>
      <c r="D661" s="29"/>
      <c r="E661" s="29"/>
      <c r="F661" s="24"/>
      <c r="G661" s="24"/>
    </row>
    <row r="662" spans="1:7" s="7" customFormat="1">
      <c r="A662" s="25"/>
      <c r="B662" s="27"/>
      <c r="C662" s="26"/>
      <c r="D662" s="29"/>
      <c r="E662" s="29"/>
      <c r="F662" s="24"/>
      <c r="G662" s="24"/>
    </row>
    <row r="663" spans="1:7" s="7" customFormat="1">
      <c r="A663" s="25"/>
      <c r="B663" s="27"/>
      <c r="C663" s="26"/>
      <c r="D663" s="29"/>
      <c r="E663" s="29"/>
      <c r="F663" s="24"/>
      <c r="G663" s="24"/>
    </row>
    <row r="664" spans="1:7" s="7" customFormat="1">
      <c r="A664" s="25"/>
      <c r="B664" s="27"/>
      <c r="C664" s="26"/>
      <c r="D664" s="29"/>
      <c r="E664" s="29"/>
      <c r="F664" s="24"/>
      <c r="G664" s="24"/>
    </row>
    <row r="665" spans="1:7" s="7" customFormat="1">
      <c r="A665" s="25"/>
      <c r="B665" s="27"/>
      <c r="C665" s="26"/>
      <c r="D665" s="29"/>
      <c r="E665" s="29"/>
      <c r="F665" s="24"/>
      <c r="G665" s="24"/>
    </row>
    <row r="666" spans="1:7" s="7" customFormat="1">
      <c r="A666" s="25"/>
      <c r="B666" s="27"/>
      <c r="C666" s="26"/>
      <c r="D666" s="29"/>
      <c r="E666" s="29"/>
      <c r="F666" s="24"/>
      <c r="G666" s="24"/>
    </row>
    <row r="667" spans="1:7" s="7" customFormat="1" ht="18.75" customHeight="1">
      <c r="A667" s="25"/>
      <c r="B667" s="27"/>
      <c r="C667" s="26"/>
      <c r="D667" s="29"/>
      <c r="E667" s="29"/>
      <c r="F667" s="24"/>
      <c r="G667" s="24"/>
    </row>
    <row r="668" spans="1:7" s="7" customFormat="1">
      <c r="A668" s="25"/>
      <c r="B668" s="27"/>
      <c r="C668" s="26"/>
      <c r="D668" s="29"/>
      <c r="E668" s="29"/>
      <c r="F668" s="24"/>
      <c r="G668" s="24"/>
    </row>
    <row r="669" spans="1:7" s="7" customFormat="1">
      <c r="A669" s="25"/>
      <c r="B669" s="27"/>
      <c r="C669" s="26"/>
      <c r="D669" s="29"/>
      <c r="E669" s="29"/>
      <c r="F669" s="24"/>
      <c r="G669" s="24"/>
    </row>
    <row r="670" spans="1:7" s="7" customFormat="1">
      <c r="A670" s="25"/>
      <c r="B670" s="27"/>
      <c r="C670" s="26"/>
      <c r="D670" s="29"/>
      <c r="E670" s="29"/>
      <c r="F670" s="24"/>
      <c r="G670" s="24"/>
    </row>
    <row r="671" spans="1:7" s="7" customFormat="1" ht="18.75" customHeight="1">
      <c r="A671" s="25"/>
      <c r="B671" s="27"/>
      <c r="C671" s="26"/>
      <c r="D671" s="29"/>
      <c r="E671" s="29"/>
      <c r="F671" s="24"/>
      <c r="G671" s="24"/>
    </row>
    <row r="672" spans="1:7" s="7" customFormat="1" ht="18" customHeight="1">
      <c r="A672" s="25"/>
      <c r="B672" s="27"/>
      <c r="C672" s="26"/>
      <c r="D672" s="29"/>
      <c r="E672" s="29"/>
      <c r="F672" s="24"/>
      <c r="G672" s="24"/>
    </row>
    <row r="673" spans="1:7" s="14" customFormat="1" ht="19.5" customHeight="1">
      <c r="A673" s="25"/>
      <c r="B673" s="27"/>
      <c r="C673" s="26"/>
      <c r="D673" s="29"/>
      <c r="E673" s="29"/>
      <c r="F673" s="24"/>
      <c r="G673" s="24"/>
    </row>
    <row r="674" spans="1:7" s="14" customFormat="1" ht="19.5" customHeight="1">
      <c r="A674" s="25"/>
      <c r="B674" s="27"/>
      <c r="C674" s="26"/>
      <c r="D674" s="29"/>
      <c r="E674" s="29"/>
      <c r="F674" s="24"/>
      <c r="G674" s="24"/>
    </row>
    <row r="675" spans="1:7" s="13" customFormat="1">
      <c r="A675" s="25"/>
      <c r="B675" s="27"/>
      <c r="C675" s="26"/>
      <c r="D675" s="29"/>
      <c r="E675" s="29"/>
      <c r="F675" s="24"/>
      <c r="G675" s="24"/>
    </row>
    <row r="676" spans="1:7" s="13" customFormat="1">
      <c r="A676" s="25"/>
      <c r="B676" s="27"/>
      <c r="C676" s="26"/>
      <c r="D676" s="29"/>
      <c r="E676" s="29"/>
      <c r="F676" s="24"/>
      <c r="G676" s="24"/>
    </row>
    <row r="677" spans="1:7" s="7" customFormat="1">
      <c r="A677" s="25"/>
      <c r="B677" s="27"/>
      <c r="C677" s="26"/>
      <c r="D677" s="29"/>
      <c r="E677" s="29"/>
      <c r="F677" s="24"/>
      <c r="G677" s="24"/>
    </row>
    <row r="678" spans="1:7" s="7" customFormat="1" ht="18.75" customHeight="1">
      <c r="A678" s="25"/>
      <c r="B678" s="27"/>
      <c r="C678" s="26"/>
      <c r="D678" s="29"/>
      <c r="E678" s="29"/>
      <c r="F678" s="24"/>
      <c r="G678" s="24"/>
    </row>
    <row r="679" spans="1:7" s="7" customFormat="1">
      <c r="A679" s="25"/>
      <c r="B679" s="27"/>
      <c r="C679" s="26"/>
      <c r="D679" s="29"/>
      <c r="E679" s="29"/>
      <c r="F679" s="24"/>
      <c r="G679" s="24"/>
    </row>
    <row r="680" spans="1:7" s="7" customFormat="1">
      <c r="A680" s="25"/>
      <c r="B680" s="27"/>
      <c r="C680" s="26"/>
      <c r="D680" s="29"/>
      <c r="E680" s="29"/>
      <c r="F680" s="24"/>
      <c r="G680" s="24"/>
    </row>
    <row r="681" spans="1:7" s="7" customFormat="1">
      <c r="A681" s="25"/>
      <c r="B681" s="27"/>
      <c r="C681" s="26"/>
      <c r="D681" s="29"/>
      <c r="E681" s="29"/>
      <c r="F681" s="24"/>
      <c r="G681" s="24"/>
    </row>
    <row r="682" spans="1:7" s="7" customFormat="1" ht="18" customHeight="1">
      <c r="A682" s="25"/>
      <c r="B682" s="27"/>
      <c r="C682" s="26"/>
      <c r="D682" s="29"/>
      <c r="E682" s="29"/>
      <c r="F682" s="24"/>
      <c r="G682" s="24"/>
    </row>
    <row r="683" spans="1:7" s="13" customFormat="1">
      <c r="A683" s="25"/>
      <c r="B683" s="27"/>
      <c r="C683" s="26"/>
      <c r="D683" s="29"/>
      <c r="E683" s="29"/>
      <c r="F683" s="24"/>
      <c r="G683" s="24"/>
    </row>
    <row r="684" spans="1:7" s="13" customFormat="1">
      <c r="A684" s="25"/>
      <c r="B684" s="27"/>
      <c r="C684" s="26"/>
      <c r="D684" s="29"/>
      <c r="E684" s="29"/>
      <c r="F684" s="29"/>
      <c r="G684" s="30"/>
    </row>
    <row r="685" spans="1:7" s="13" customFormat="1">
      <c r="A685" s="25"/>
      <c r="B685" s="27"/>
      <c r="C685" s="26"/>
      <c r="D685" s="29"/>
      <c r="E685" s="29"/>
      <c r="F685" s="29"/>
      <c r="G685" s="30"/>
    </row>
    <row r="686" spans="1:7" s="13" customFormat="1">
      <c r="A686" s="25"/>
      <c r="B686" s="27"/>
      <c r="C686" s="26"/>
      <c r="D686" s="29"/>
      <c r="E686" s="29"/>
      <c r="F686" s="29"/>
      <c r="G686" s="30"/>
    </row>
    <row r="687" spans="1:7" s="13" customFormat="1">
      <c r="A687" s="25"/>
      <c r="B687" s="27"/>
      <c r="C687" s="26"/>
      <c r="D687" s="29"/>
      <c r="E687" s="29"/>
      <c r="F687" s="29"/>
      <c r="G687" s="30"/>
    </row>
    <row r="688" spans="1:7" s="13" customFormat="1">
      <c r="A688" s="25"/>
      <c r="B688" s="27"/>
      <c r="C688" s="26"/>
      <c r="D688" s="29"/>
      <c r="E688" s="29"/>
      <c r="F688" s="29"/>
      <c r="G688" s="30"/>
    </row>
    <row r="689" spans="1:7" s="13" customFormat="1">
      <c r="A689" s="25"/>
      <c r="B689" s="27"/>
      <c r="C689" s="26"/>
      <c r="D689" s="29"/>
      <c r="E689" s="29"/>
      <c r="F689" s="29"/>
      <c r="G689" s="30"/>
    </row>
    <row r="690" spans="1:7" s="7" customFormat="1">
      <c r="A690" s="25"/>
      <c r="B690" s="27"/>
      <c r="C690" s="26"/>
      <c r="D690" s="29"/>
      <c r="E690" s="29"/>
      <c r="F690" s="29"/>
      <c r="G690" s="30"/>
    </row>
    <row r="691" spans="1:7" s="7" customFormat="1" ht="18" customHeight="1">
      <c r="A691" s="25"/>
      <c r="B691" s="27"/>
      <c r="C691" s="26"/>
      <c r="D691" s="29"/>
      <c r="E691" s="29"/>
      <c r="F691" s="29"/>
      <c r="G691" s="30"/>
    </row>
    <row r="692" spans="1:7" s="13" customFormat="1">
      <c r="A692" s="25"/>
      <c r="B692" s="27"/>
      <c r="C692" s="26"/>
      <c r="D692" s="29"/>
      <c r="E692" s="29"/>
      <c r="F692" s="29"/>
      <c r="G692" s="30"/>
    </row>
    <row r="693" spans="1:7" s="13" customFormat="1">
      <c r="A693" s="25"/>
      <c r="B693" s="27"/>
      <c r="C693" s="26"/>
      <c r="D693" s="29"/>
      <c r="E693" s="29"/>
      <c r="F693" s="29"/>
      <c r="G693" s="30"/>
    </row>
    <row r="694" spans="1:7" s="7" customFormat="1">
      <c r="A694" s="25"/>
      <c r="B694" s="27"/>
      <c r="C694" s="26"/>
      <c r="D694" s="29"/>
      <c r="E694" s="29"/>
      <c r="F694" s="29"/>
      <c r="G694" s="30"/>
    </row>
    <row r="695" spans="1:7" s="7" customFormat="1" ht="18.75" customHeight="1">
      <c r="A695" s="25"/>
      <c r="B695" s="27"/>
      <c r="C695" s="26"/>
      <c r="D695" s="29"/>
      <c r="E695" s="29"/>
      <c r="F695" s="29"/>
      <c r="G695" s="30"/>
    </row>
    <row r="696" spans="1:7" s="7" customFormat="1">
      <c r="A696" s="25"/>
      <c r="B696" s="27"/>
      <c r="C696" s="26"/>
      <c r="D696" s="29"/>
      <c r="E696" s="29"/>
      <c r="F696" s="29"/>
      <c r="G696" s="30"/>
    </row>
    <row r="697" spans="1:7" s="7" customFormat="1">
      <c r="A697" s="25"/>
      <c r="B697" s="27"/>
      <c r="C697" s="26"/>
      <c r="D697" s="29"/>
      <c r="E697" s="29"/>
      <c r="F697" s="29"/>
      <c r="G697" s="30"/>
    </row>
    <row r="698" spans="1:7" s="7" customFormat="1">
      <c r="A698" s="25"/>
      <c r="B698" s="27"/>
      <c r="C698" s="26"/>
      <c r="D698" s="29"/>
      <c r="E698" s="29"/>
      <c r="F698" s="29"/>
      <c r="G698" s="30"/>
    </row>
    <row r="699" spans="1:7" s="7" customFormat="1">
      <c r="A699" s="25"/>
      <c r="B699" s="27"/>
      <c r="C699" s="26"/>
      <c r="D699" s="29"/>
      <c r="E699" s="29"/>
      <c r="F699" s="29"/>
      <c r="G699" s="30"/>
    </row>
    <row r="700" spans="1:7" s="7" customFormat="1">
      <c r="A700" s="25"/>
      <c r="B700" s="27"/>
      <c r="C700" s="26"/>
      <c r="D700" s="29"/>
      <c r="E700" s="29"/>
      <c r="F700" s="29"/>
      <c r="G700" s="30"/>
    </row>
    <row r="701" spans="1:7" s="7" customFormat="1">
      <c r="A701" s="25"/>
      <c r="B701" s="27"/>
      <c r="C701" s="26"/>
      <c r="D701" s="29"/>
      <c r="E701" s="29"/>
      <c r="F701" s="29"/>
      <c r="G701" s="30"/>
    </row>
    <row r="702" spans="1:7" s="7" customFormat="1" ht="18.75" customHeight="1">
      <c r="A702" s="25"/>
      <c r="B702" s="27"/>
      <c r="C702" s="26"/>
      <c r="D702" s="29"/>
      <c r="E702" s="29"/>
      <c r="F702" s="29"/>
      <c r="G702" s="30"/>
    </row>
    <row r="703" spans="1:7" s="7" customFormat="1">
      <c r="A703" s="25"/>
      <c r="B703" s="27"/>
      <c r="C703" s="26"/>
      <c r="D703" s="29"/>
      <c r="E703" s="29"/>
      <c r="F703" s="29"/>
      <c r="G703" s="30"/>
    </row>
    <row r="704" spans="1:7" s="7" customFormat="1">
      <c r="A704" s="25"/>
      <c r="B704" s="27"/>
      <c r="C704" s="26"/>
      <c r="D704" s="29"/>
      <c r="E704" s="29"/>
      <c r="F704" s="29"/>
      <c r="G704" s="30"/>
    </row>
    <row r="705" spans="1:7" s="7" customFormat="1">
      <c r="A705" s="25"/>
      <c r="B705" s="27"/>
      <c r="C705" s="26"/>
      <c r="D705" s="29"/>
      <c r="E705" s="29"/>
      <c r="F705" s="29"/>
      <c r="G705" s="30"/>
    </row>
    <row r="708" spans="1:7" s="41" customFormat="1" ht="24.75" customHeight="1">
      <c r="A708" s="25"/>
      <c r="B708" s="27"/>
      <c r="C708" s="26"/>
      <c r="D708" s="29"/>
      <c r="E708" s="29"/>
      <c r="F708" s="29"/>
      <c r="G708" s="30"/>
    </row>
    <row r="709" spans="1:7" ht="18.75" customHeight="1"/>
    <row r="715" spans="1:7" s="6" customFormat="1" ht="20.25">
      <c r="A715" s="25"/>
      <c r="B715" s="27"/>
      <c r="C715" s="26"/>
      <c r="D715" s="29"/>
      <c r="E715" s="29"/>
      <c r="F715" s="29"/>
      <c r="G715" s="30"/>
    </row>
    <row r="716" spans="1:7" s="6" customFormat="1" ht="20.25">
      <c r="A716" s="25"/>
      <c r="B716" s="27"/>
      <c r="C716" s="26"/>
      <c r="D716" s="29"/>
      <c r="E716" s="29"/>
      <c r="F716" s="29"/>
      <c r="G716" s="30"/>
    </row>
    <row r="717" spans="1:7" s="6" customFormat="1" ht="20.25">
      <c r="A717" s="25"/>
      <c r="B717" s="27"/>
      <c r="C717" s="26"/>
      <c r="D717" s="29"/>
      <c r="E717" s="29"/>
      <c r="F717" s="29"/>
      <c r="G717" s="30"/>
    </row>
    <row r="718" spans="1:7" s="6" customFormat="1" ht="20.25">
      <c r="A718" s="25"/>
      <c r="B718" s="27"/>
      <c r="C718" s="26"/>
      <c r="D718" s="29"/>
      <c r="E718" s="29"/>
      <c r="F718" s="29"/>
      <c r="G718" s="30"/>
    </row>
    <row r="719" spans="1:7" s="6" customFormat="1" ht="20.25">
      <c r="A719" s="25"/>
      <c r="B719" s="27"/>
      <c r="C719" s="26"/>
      <c r="D719" s="29"/>
      <c r="E719" s="29"/>
      <c r="F719" s="29"/>
      <c r="G719" s="30"/>
    </row>
    <row r="720" spans="1:7" s="6" customFormat="1" ht="20.25">
      <c r="A720" s="25"/>
      <c r="B720" s="27"/>
      <c r="C720" s="26"/>
      <c r="D720" s="29"/>
      <c r="E720" s="29"/>
      <c r="F720" s="29"/>
      <c r="G720" s="30"/>
    </row>
    <row r="721" spans="1:7" s="6" customFormat="1" ht="20.25">
      <c r="A721" s="25"/>
      <c r="B721" s="27"/>
      <c r="C721" s="26"/>
      <c r="D721" s="29"/>
      <c r="E721" s="29"/>
      <c r="F721" s="29"/>
      <c r="G721" s="30"/>
    </row>
    <row r="722" spans="1:7" s="6" customFormat="1" ht="20.25">
      <c r="A722" s="25"/>
      <c r="B722" s="27"/>
      <c r="C722" s="26"/>
      <c r="D722" s="29"/>
      <c r="E722" s="29"/>
      <c r="F722" s="29"/>
      <c r="G722" s="30"/>
    </row>
    <row r="723" spans="1:7" s="6" customFormat="1" ht="20.25">
      <c r="A723" s="25"/>
      <c r="B723" s="27"/>
      <c r="C723" s="26"/>
      <c r="D723" s="29"/>
      <c r="E723" s="29"/>
      <c r="F723" s="29"/>
      <c r="G723" s="30"/>
    </row>
    <row r="724" spans="1:7" s="6" customFormat="1" ht="20.25">
      <c r="A724" s="25"/>
      <c r="B724" s="27"/>
      <c r="C724" s="26"/>
      <c r="D724" s="29"/>
      <c r="E724" s="29"/>
      <c r="F724" s="29"/>
      <c r="G724" s="30"/>
    </row>
    <row r="725" spans="1:7" s="6" customFormat="1" ht="20.25">
      <c r="A725" s="25"/>
      <c r="B725" s="27"/>
      <c r="C725" s="26"/>
      <c r="D725" s="29"/>
      <c r="E725" s="29"/>
      <c r="F725" s="29"/>
      <c r="G725" s="30"/>
    </row>
    <row r="726" spans="1:7" s="6" customFormat="1" ht="20.25">
      <c r="A726" s="25"/>
      <c r="B726" s="27"/>
      <c r="C726" s="26"/>
      <c r="D726" s="29"/>
      <c r="E726" s="29"/>
      <c r="F726" s="29"/>
      <c r="G726" s="30"/>
    </row>
    <row r="727" spans="1:7" s="6" customFormat="1" ht="20.25">
      <c r="A727" s="25"/>
      <c r="B727" s="27"/>
      <c r="C727" s="26"/>
      <c r="D727" s="29"/>
      <c r="E727" s="29"/>
      <c r="F727" s="29"/>
      <c r="G727" s="30"/>
    </row>
    <row r="728" spans="1:7" s="6" customFormat="1" ht="20.25">
      <c r="A728" s="25"/>
      <c r="B728" s="27"/>
      <c r="C728" s="26"/>
      <c r="D728" s="29"/>
      <c r="E728" s="29"/>
      <c r="F728" s="29"/>
      <c r="G728" s="30"/>
    </row>
    <row r="729" spans="1:7" s="6" customFormat="1" ht="20.25">
      <c r="A729" s="25"/>
      <c r="B729" s="27"/>
      <c r="C729" s="26"/>
      <c r="D729" s="29"/>
      <c r="E729" s="29"/>
      <c r="F729" s="29"/>
      <c r="G729" s="30"/>
    </row>
    <row r="730" spans="1:7" s="6" customFormat="1" ht="20.25">
      <c r="A730" s="25"/>
      <c r="B730" s="27"/>
      <c r="C730" s="26"/>
      <c r="D730" s="29"/>
      <c r="E730" s="29"/>
      <c r="F730" s="29"/>
      <c r="G730" s="30"/>
    </row>
    <row r="731" spans="1:7" s="6" customFormat="1" ht="20.25">
      <c r="A731" s="25"/>
      <c r="B731" s="27"/>
      <c r="C731" s="26"/>
      <c r="D731" s="29"/>
      <c r="E731" s="29"/>
      <c r="F731" s="29"/>
      <c r="G731" s="30"/>
    </row>
    <row r="732" spans="1:7" s="6" customFormat="1" ht="20.25">
      <c r="A732" s="25"/>
      <c r="B732" s="27"/>
      <c r="C732" s="26"/>
      <c r="D732" s="29"/>
      <c r="E732" s="29"/>
      <c r="F732" s="29"/>
      <c r="G732" s="30"/>
    </row>
    <row r="733" spans="1:7" s="6" customFormat="1" ht="20.25">
      <c r="A733" s="25"/>
      <c r="B733" s="27"/>
      <c r="C733" s="26"/>
      <c r="D733" s="29"/>
      <c r="E733" s="29"/>
      <c r="F733" s="29"/>
      <c r="G733" s="30"/>
    </row>
    <row r="734" spans="1:7" s="6" customFormat="1" ht="20.25">
      <c r="A734" s="25"/>
      <c r="B734" s="27"/>
      <c r="C734" s="26"/>
      <c r="D734" s="29"/>
      <c r="E734" s="29"/>
      <c r="F734" s="29"/>
      <c r="G734" s="30"/>
    </row>
    <row r="735" spans="1:7" s="6" customFormat="1" ht="20.25">
      <c r="A735" s="25"/>
      <c r="B735" s="27"/>
      <c r="C735" s="26"/>
      <c r="D735" s="29"/>
      <c r="E735" s="29"/>
      <c r="F735" s="29"/>
      <c r="G735" s="30"/>
    </row>
    <row r="736" spans="1:7" s="6" customFormat="1" ht="20.25">
      <c r="A736" s="25"/>
      <c r="B736" s="27"/>
      <c r="C736" s="26"/>
      <c r="D736" s="29"/>
      <c r="E736" s="29"/>
      <c r="F736" s="29"/>
      <c r="G736" s="30"/>
    </row>
    <row r="737" spans="1:7" s="6" customFormat="1" ht="20.25">
      <c r="A737" s="25"/>
      <c r="B737" s="27"/>
      <c r="C737" s="26"/>
      <c r="D737" s="29"/>
      <c r="E737" s="29"/>
      <c r="F737" s="29"/>
      <c r="G737" s="30"/>
    </row>
    <row r="738" spans="1:7" s="6" customFormat="1" ht="20.25">
      <c r="A738" s="25"/>
      <c r="B738" s="27"/>
      <c r="C738" s="26"/>
      <c r="D738" s="29"/>
      <c r="E738" s="29"/>
      <c r="F738" s="29"/>
      <c r="G738" s="30"/>
    </row>
  </sheetData>
  <autoFilter ref="A5:G709"/>
  <mergeCells count="109">
    <mergeCell ref="A319:G319"/>
    <mergeCell ref="A320:G320"/>
    <mergeCell ref="A562:G562"/>
    <mergeCell ref="A504:G504"/>
    <mergeCell ref="A512:G512"/>
    <mergeCell ref="A519:G519"/>
    <mergeCell ref="A523:G523"/>
    <mergeCell ref="A533:G533"/>
    <mergeCell ref="A541:G541"/>
    <mergeCell ref="A542:G542"/>
    <mergeCell ref="A549:G549"/>
    <mergeCell ref="A553:G553"/>
    <mergeCell ref="A513:G513"/>
    <mergeCell ref="A457:G457"/>
    <mergeCell ref="A346:G346"/>
    <mergeCell ref="A326:G326"/>
    <mergeCell ref="A330:G330"/>
    <mergeCell ref="A339:G339"/>
    <mergeCell ref="A347:G347"/>
    <mergeCell ref="A354:G354"/>
    <mergeCell ref="A358:G358"/>
    <mergeCell ref="A430:G430"/>
    <mergeCell ref="A403:G403"/>
    <mergeCell ref="A440:G440"/>
    <mergeCell ref="A247:G247"/>
    <mergeCell ref="A255:G255"/>
    <mergeCell ref="A263:G263"/>
    <mergeCell ref="A264:G264"/>
    <mergeCell ref="A270:G270"/>
    <mergeCell ref="A274:G274"/>
    <mergeCell ref="A283:G283"/>
    <mergeCell ref="A299:G299"/>
    <mergeCell ref="A303:G303"/>
    <mergeCell ref="A236:G236"/>
    <mergeCell ref="A151:G151"/>
    <mergeCell ref="A162:G162"/>
    <mergeCell ref="A188:G188"/>
    <mergeCell ref="A208:G208"/>
    <mergeCell ref="A235:G235"/>
    <mergeCell ref="A158:G158"/>
    <mergeCell ref="A219:G219"/>
    <mergeCell ref="A243:G243"/>
    <mergeCell ref="A312:G312"/>
    <mergeCell ref="A382:G382"/>
    <mergeCell ref="A367:G367"/>
    <mergeCell ref="A152:G152"/>
    <mergeCell ref="A172:G172"/>
    <mergeCell ref="B1:G1"/>
    <mergeCell ref="B2:G2"/>
    <mergeCell ref="C5:C7"/>
    <mergeCell ref="F5:F7"/>
    <mergeCell ref="G5:G7"/>
    <mergeCell ref="B5:B8"/>
    <mergeCell ref="D5:D7"/>
    <mergeCell ref="E5:E7"/>
    <mergeCell ref="A95:G95"/>
    <mergeCell ref="A87:G87"/>
    <mergeCell ref="A114:G114"/>
    <mergeCell ref="A122:G122"/>
    <mergeCell ref="A130:G130"/>
    <mergeCell ref="A134:G134"/>
    <mergeCell ref="A143:G143"/>
    <mergeCell ref="A180:G180"/>
    <mergeCell ref="A181:G181"/>
    <mergeCell ref="A123:G123"/>
    <mergeCell ref="A192:G192"/>
    <mergeCell ref="A16:G16"/>
    <mergeCell ref="A5:A8"/>
    <mergeCell ref="A10:G10"/>
    <mergeCell ref="A20:G20"/>
    <mergeCell ref="A29:G29"/>
    <mergeCell ref="A292:G292"/>
    <mergeCell ref="A293:G293"/>
    <mergeCell ref="A37:G37"/>
    <mergeCell ref="A38:G38"/>
    <mergeCell ref="A45:G45"/>
    <mergeCell ref="A9:G9"/>
    <mergeCell ref="A49:G49"/>
    <mergeCell ref="A59:G59"/>
    <mergeCell ref="A66:G66"/>
    <mergeCell ref="A67:G67"/>
    <mergeCell ref="A73:G73"/>
    <mergeCell ref="A77:G77"/>
    <mergeCell ref="A94:G94"/>
    <mergeCell ref="A105:G105"/>
    <mergeCell ref="A101:G101"/>
    <mergeCell ref="A201:G201"/>
    <mergeCell ref="A209:G209"/>
    <mergeCell ref="A215:G215"/>
    <mergeCell ref="A228:G228"/>
    <mergeCell ref="A448:G448"/>
    <mergeCell ref="A464:G464"/>
    <mergeCell ref="A468:G468"/>
    <mergeCell ref="A477:G477"/>
    <mergeCell ref="A484:G484"/>
    <mergeCell ref="A485:G485"/>
    <mergeCell ref="A495:G495"/>
    <mergeCell ref="A374:G374"/>
    <mergeCell ref="A375:G375"/>
    <mergeCell ref="A395:G395"/>
    <mergeCell ref="A404:G404"/>
    <mergeCell ref="A410:G410"/>
    <mergeCell ref="A414:G414"/>
    <mergeCell ref="A422:G422"/>
    <mergeCell ref="A429:G429"/>
    <mergeCell ref="A436:G436"/>
    <mergeCell ref="A456:G456"/>
    <mergeCell ref="A491:G491"/>
    <mergeCell ref="A386:G386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9" fitToHeight="9" orientation="portrait" r:id="rId1"/>
  <headerFooter alignWithMargins="0"/>
  <rowBreaks count="2" manualBreakCount="2">
    <brk id="644" max="18" man="1"/>
    <brk id="707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H5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I17" sqref="I17"/>
    </sheetView>
  </sheetViews>
  <sheetFormatPr defaultRowHeight="12.75"/>
  <cols>
    <col min="1" max="1" width="9.140625" style="28"/>
    <col min="2" max="2" width="13.5703125" style="28" customWidth="1"/>
    <col min="3" max="3" width="11.7109375" style="32" customWidth="1"/>
    <col min="4" max="4" width="12.140625" style="32" customWidth="1"/>
    <col min="5" max="5" width="14.28515625" style="32" customWidth="1"/>
    <col min="6" max="6" width="14.42578125" style="33" customWidth="1"/>
  </cols>
  <sheetData>
    <row r="2" spans="1:8" ht="15">
      <c r="A2" s="31" t="s">
        <v>69</v>
      </c>
    </row>
    <row r="3" spans="1:8" ht="15">
      <c r="A3" s="34" t="s">
        <v>32</v>
      </c>
      <c r="B3" s="34" t="s">
        <v>33</v>
      </c>
      <c r="C3" s="35" t="s">
        <v>34</v>
      </c>
      <c r="D3" s="35" t="s">
        <v>35</v>
      </c>
      <c r="E3" s="35" t="s">
        <v>36</v>
      </c>
      <c r="F3" s="36" t="s">
        <v>8</v>
      </c>
    </row>
    <row r="4" spans="1:8" ht="15">
      <c r="A4" s="34"/>
      <c r="B4" s="34"/>
      <c r="C4" s="35">
        <v>46</v>
      </c>
      <c r="D4" s="35">
        <v>51</v>
      </c>
      <c r="E4" s="35">
        <v>222</v>
      </c>
      <c r="F4" s="36">
        <v>1530</v>
      </c>
    </row>
    <row r="5" spans="1:8" ht="15">
      <c r="A5" s="34"/>
      <c r="B5" s="34"/>
      <c r="C5" s="35">
        <v>57</v>
      </c>
      <c r="D5" s="35">
        <v>63</v>
      </c>
      <c r="E5" s="35">
        <v>274</v>
      </c>
      <c r="F5" s="36">
        <v>1890</v>
      </c>
    </row>
    <row r="6" spans="1:8">
      <c r="A6" s="37" t="s">
        <v>37</v>
      </c>
      <c r="B6" s="37">
        <v>1</v>
      </c>
      <c r="C6" s="38">
        <f>'Комплекс 1 '!D36</f>
        <v>57.243499999999997</v>
      </c>
      <c r="D6" s="38">
        <f>'Комплекс 1 '!E36</f>
        <v>58.16</v>
      </c>
      <c r="E6" s="38">
        <f>'Комплекс 1 '!F36</f>
        <v>214.5925</v>
      </c>
      <c r="F6" s="38">
        <f>'Комплекс 1 '!G36</f>
        <v>1624.4645</v>
      </c>
      <c r="G6" s="2"/>
      <c r="H6" s="2"/>
    </row>
    <row r="7" spans="1:8">
      <c r="A7" s="37"/>
      <c r="B7" s="37">
        <v>2</v>
      </c>
      <c r="C7" s="23">
        <f>'Комплекс 1 '!D65</f>
        <v>65.811999999999998</v>
      </c>
      <c r="D7" s="23">
        <f>'Комплекс 1 '!E65</f>
        <v>70.13000000000001</v>
      </c>
      <c r="E7" s="23">
        <f>'Комплекс 1 '!F65</f>
        <v>139.40600000000001</v>
      </c>
      <c r="F7" s="23">
        <f>'Комплекс 1 '!G65</f>
        <v>1468.8980000000001</v>
      </c>
    </row>
    <row r="8" spans="1:8">
      <c r="A8" s="37"/>
      <c r="B8" s="37">
        <v>3</v>
      </c>
      <c r="C8" s="23">
        <f>'Комплекс 1 '!D93</f>
        <v>67.995000000000005</v>
      </c>
      <c r="D8" s="23">
        <f>'Комплекс 1 '!E93</f>
        <v>119.49</v>
      </c>
      <c r="E8" s="23">
        <f>'Комплекс 1 '!F93</f>
        <v>212.97250000000003</v>
      </c>
      <c r="F8" s="23">
        <f>'Комплекс 1 '!G93</f>
        <v>2352.4814999999999</v>
      </c>
    </row>
    <row r="9" spans="1:8">
      <c r="A9" s="37"/>
      <c r="B9" s="37">
        <v>4</v>
      </c>
      <c r="C9" s="23">
        <f>'Комплекс 1 '!D121</f>
        <v>47.195999999999998</v>
      </c>
      <c r="D9" s="23">
        <f>'Комплекс 1 '!E121</f>
        <v>60.162999999999997</v>
      </c>
      <c r="E9" s="23">
        <f>'Комплекс 1 '!F121</f>
        <v>216.048</v>
      </c>
      <c r="F9" s="23">
        <f>'Комплекс 1 '!G121</f>
        <v>1624.5650000000001</v>
      </c>
    </row>
    <row r="10" spans="1:8">
      <c r="A10" s="37"/>
      <c r="B10" s="37">
        <v>5</v>
      </c>
      <c r="C10" s="23">
        <f>'Комплекс 1 '!D149</f>
        <v>72.768000000000015</v>
      </c>
      <c r="D10" s="23">
        <f>'Комплекс 1 '!E149</f>
        <v>70.105000000000004</v>
      </c>
      <c r="E10" s="23">
        <f>'Комплекс 1 '!F149</f>
        <v>233.64699999999996</v>
      </c>
      <c r="F10" s="23">
        <f>'Комплекс 1 '!G149</f>
        <v>1875.8230000000001</v>
      </c>
    </row>
    <row r="11" spans="1:8" hidden="1">
      <c r="A11" s="37"/>
      <c r="B11" s="37">
        <v>6</v>
      </c>
      <c r="C11" s="23" t="e">
        <f>'Комплекс 1 '!#REF!</f>
        <v>#REF!</v>
      </c>
      <c r="D11" s="23" t="e">
        <f>'Комплекс 1 '!#REF!</f>
        <v>#REF!</v>
      </c>
      <c r="E11" s="23" t="e">
        <f>'Комплекс 1 '!#REF!</f>
        <v>#REF!</v>
      </c>
      <c r="F11" s="23" t="e">
        <f>'Комплекс 1 '!#REF!</f>
        <v>#REF!</v>
      </c>
    </row>
    <row r="12" spans="1:8">
      <c r="A12" s="37" t="s">
        <v>38</v>
      </c>
      <c r="B12" s="37"/>
      <c r="C12" s="39">
        <f t="shared" ref="C12:E12" si="0">SUM(C6:C10)</f>
        <v>311.0145</v>
      </c>
      <c r="D12" s="39">
        <f t="shared" si="0"/>
        <v>378.04800000000006</v>
      </c>
      <c r="E12" s="39">
        <f t="shared" si="0"/>
        <v>1016.6659999999999</v>
      </c>
      <c r="F12" s="39">
        <f>SUM(F6:F10)</f>
        <v>8946.232</v>
      </c>
      <c r="G12" s="38"/>
    </row>
    <row r="13" spans="1:8" ht="15">
      <c r="A13" s="37" t="s">
        <v>39</v>
      </c>
      <c r="B13" s="37"/>
      <c r="C13" s="50">
        <f t="shared" ref="C13:E13" si="1">C12/5</f>
        <v>62.2029</v>
      </c>
      <c r="D13" s="50">
        <f t="shared" si="1"/>
        <v>75.609600000000015</v>
      </c>
      <c r="E13" s="50">
        <f t="shared" si="1"/>
        <v>203.33319999999998</v>
      </c>
      <c r="F13" s="22">
        <f>F12/5</f>
        <v>1789.2464</v>
      </c>
    </row>
    <row r="14" spans="1:8">
      <c r="A14" s="3" t="s">
        <v>157</v>
      </c>
      <c r="B14" s="3"/>
      <c r="C14" s="5"/>
      <c r="D14" s="5"/>
      <c r="E14" s="5"/>
      <c r="F14" s="5"/>
    </row>
    <row r="15" spans="1:8">
      <c r="A15" s="3" t="s">
        <v>158</v>
      </c>
      <c r="B15" s="3"/>
      <c r="C15" s="5"/>
      <c r="D15" s="5"/>
      <c r="E15" s="5"/>
      <c r="F15" s="5"/>
    </row>
    <row r="16" spans="1:8">
      <c r="A16" s="175" t="s">
        <v>68</v>
      </c>
      <c r="B16" s="176"/>
      <c r="C16" s="4"/>
      <c r="D16" s="4"/>
      <c r="E16" s="4"/>
      <c r="F16" s="5"/>
    </row>
    <row r="17" spans="1:6">
      <c r="A17" s="37" t="s">
        <v>40</v>
      </c>
      <c r="B17" s="37"/>
      <c r="C17" s="23">
        <f>C13/C13</f>
        <v>1</v>
      </c>
      <c r="D17" s="23">
        <f>D13/C13</f>
        <v>1.2155317517350479</v>
      </c>
      <c r="E17" s="23">
        <f>E13/C13</f>
        <v>3.2688701009116934</v>
      </c>
      <c r="F17" s="39"/>
    </row>
    <row r="18" spans="1:6">
      <c r="A18" s="37" t="s">
        <v>41</v>
      </c>
      <c r="B18" s="37">
        <v>6</v>
      </c>
      <c r="C18" s="38">
        <f>'Комплекс 1 '!D179</f>
        <v>60.798999999999992</v>
      </c>
      <c r="D18" s="38">
        <f>'Комплекс 1 '!E179</f>
        <v>60.204999999999998</v>
      </c>
      <c r="E18" s="38">
        <f>'Комплекс 1 '!F179</f>
        <v>219.88300000000004</v>
      </c>
      <c r="F18" s="38">
        <f>'Комплекс 1 '!G179</f>
        <v>1707.5159999999998</v>
      </c>
    </row>
    <row r="19" spans="1:6">
      <c r="A19" s="37"/>
      <c r="B19" s="37">
        <v>7</v>
      </c>
      <c r="C19" s="23">
        <f>'Комплекс 1 '!D207</f>
        <v>65.554000000000002</v>
      </c>
      <c r="D19" s="23">
        <f>'Комплекс 1 '!E207</f>
        <v>68.266999999999996</v>
      </c>
      <c r="E19" s="23">
        <f>'Комплекс 1 '!F207</f>
        <v>233.4</v>
      </c>
      <c r="F19" s="23">
        <f>'Комплекс 1 '!G207</f>
        <v>1824.5650000000001</v>
      </c>
    </row>
    <row r="20" spans="1:6">
      <c r="A20" s="37"/>
      <c r="B20" s="37">
        <v>8</v>
      </c>
      <c r="C20" s="23">
        <f>'Комплекс 1 '!D234</f>
        <v>53.394999999999996</v>
      </c>
      <c r="D20" s="23">
        <f>'Комплекс 1 '!E234</f>
        <v>56.620000000000005</v>
      </c>
      <c r="E20" s="23">
        <f>'Комплекс 1 '!F234</f>
        <v>218.60900000000001</v>
      </c>
      <c r="F20" s="23">
        <f>'Комплекс 1 '!G234</f>
        <v>1652.614</v>
      </c>
    </row>
    <row r="21" spans="1:6">
      <c r="A21" s="37"/>
      <c r="B21" s="37">
        <v>9</v>
      </c>
      <c r="C21" s="23">
        <f>'Комплекс 1 '!D262</f>
        <v>54.433500000000009</v>
      </c>
      <c r="D21" s="23">
        <f>'Комплекс 1 '!E262</f>
        <v>55.402000000000001</v>
      </c>
      <c r="E21" s="23">
        <f>'Комплекс 1 '!F262</f>
        <v>200.32999999999998</v>
      </c>
      <c r="F21" s="23">
        <f>'Комплекс 1 '!G262</f>
        <v>1506.8040999999998</v>
      </c>
    </row>
    <row r="22" spans="1:6">
      <c r="A22" s="37"/>
      <c r="B22" s="37">
        <v>10</v>
      </c>
      <c r="C22" s="38">
        <f>'Комплекс 1 '!D290</f>
        <v>56.25800000000001</v>
      </c>
      <c r="D22" s="38">
        <f>'Комплекс 1 '!E290</f>
        <v>57.640500000000003</v>
      </c>
      <c r="E22" s="38">
        <f>'Комплекс 1 '!F290</f>
        <v>196.0265</v>
      </c>
      <c r="F22" s="38">
        <f>'Комплекс 1 '!G290</f>
        <v>1543.7350000000001</v>
      </c>
    </row>
    <row r="23" spans="1:6" hidden="1">
      <c r="A23" s="37"/>
      <c r="B23" s="37">
        <v>12</v>
      </c>
      <c r="C23" s="23" t="e">
        <f>'Комплекс 1 '!#REF!</f>
        <v>#REF!</v>
      </c>
      <c r="D23" s="23" t="e">
        <f>'Комплекс 1 '!#REF!</f>
        <v>#REF!</v>
      </c>
      <c r="E23" s="23" t="e">
        <f>'Комплекс 1 '!#REF!</f>
        <v>#REF!</v>
      </c>
      <c r="F23" s="23" t="e">
        <f>'Комплекс 1 '!#REF!</f>
        <v>#REF!</v>
      </c>
    </row>
    <row r="24" spans="1:6">
      <c r="A24" s="37" t="s">
        <v>38</v>
      </c>
      <c r="B24" s="37"/>
      <c r="C24" s="39">
        <f t="shared" ref="C24:E24" si="2">SUM(C18:C22)</f>
        <v>290.43950000000001</v>
      </c>
      <c r="D24" s="39">
        <f t="shared" si="2"/>
        <v>298.1345</v>
      </c>
      <c r="E24" s="39">
        <f t="shared" si="2"/>
        <v>1068.2484999999999</v>
      </c>
      <c r="F24" s="39">
        <f>SUM(F18:F22)</f>
        <v>8235.2340999999997</v>
      </c>
    </row>
    <row r="25" spans="1:6" ht="15">
      <c r="A25" s="37" t="s">
        <v>39</v>
      </c>
      <c r="B25" s="37"/>
      <c r="C25" s="50">
        <f t="shared" ref="C25:E25" si="3">C24/5</f>
        <v>58.087900000000005</v>
      </c>
      <c r="D25" s="22">
        <f t="shared" si="3"/>
        <v>59.626899999999999</v>
      </c>
      <c r="E25" s="50">
        <f t="shared" si="3"/>
        <v>213.6497</v>
      </c>
      <c r="F25" s="22">
        <f>F24/5</f>
        <v>1647.04682</v>
      </c>
    </row>
    <row r="26" spans="1:6">
      <c r="A26" s="3" t="s">
        <v>157</v>
      </c>
      <c r="B26" s="3"/>
      <c r="C26" s="5"/>
      <c r="D26" s="5"/>
      <c r="E26" s="5"/>
      <c r="F26" s="5"/>
    </row>
    <row r="27" spans="1:6">
      <c r="A27" s="3" t="s">
        <v>158</v>
      </c>
      <c r="B27" s="3"/>
      <c r="C27" s="5"/>
      <c r="D27" s="5"/>
      <c r="E27" s="5"/>
      <c r="F27" s="5"/>
    </row>
    <row r="28" spans="1:6">
      <c r="A28" s="175" t="s">
        <v>68</v>
      </c>
      <c r="B28" s="176"/>
      <c r="C28" s="4"/>
      <c r="D28" s="4"/>
      <c r="E28" s="4"/>
      <c r="F28" s="5"/>
    </row>
    <row r="29" spans="1:6">
      <c r="A29" s="37" t="s">
        <v>40</v>
      </c>
      <c r="B29" s="37"/>
      <c r="C29" s="23">
        <f>C25/C25</f>
        <v>1</v>
      </c>
      <c r="D29" s="23">
        <f>D25/C25</f>
        <v>1.0264943301444878</v>
      </c>
      <c r="E29" s="23">
        <f>E25/C25</f>
        <v>3.6780413821122813</v>
      </c>
      <c r="F29" s="39"/>
    </row>
    <row r="30" spans="1:6">
      <c r="A30" s="37" t="s">
        <v>42</v>
      </c>
      <c r="B30" s="37">
        <v>11</v>
      </c>
      <c r="C30" s="23">
        <f>'Комплекс 1 '!D318</f>
        <v>43.150999999999996</v>
      </c>
      <c r="D30" s="23">
        <f>'Комплекс 1 '!E318</f>
        <v>50.524000000000001</v>
      </c>
      <c r="E30" s="23">
        <f>'Комплекс 1 '!F318</f>
        <v>181.90400000000002</v>
      </c>
      <c r="F30" s="23">
        <f>'Комплекс 1 '!G318</f>
        <v>1374.6670999999997</v>
      </c>
    </row>
    <row r="31" spans="1:6">
      <c r="A31" s="37"/>
      <c r="B31" s="37">
        <v>12</v>
      </c>
      <c r="C31" s="23">
        <f>'Комплекс 1 '!D345</f>
        <v>52.936999999999998</v>
      </c>
      <c r="D31" s="23">
        <f>'Комплекс 1 '!E345</f>
        <v>57.774999999999999</v>
      </c>
      <c r="E31" s="23">
        <f>'Комплекс 1 '!F345</f>
        <v>217.47</v>
      </c>
      <c r="F31" s="23">
        <f>'Комплекс 1 '!G345</f>
        <v>1663.297</v>
      </c>
    </row>
    <row r="32" spans="1:6">
      <c r="A32" s="37"/>
      <c r="B32" s="37">
        <v>13</v>
      </c>
      <c r="C32" s="23">
        <f>'Комплекс 1 '!D373</f>
        <v>56.947000000000003</v>
      </c>
      <c r="D32" s="23">
        <f>'Комплекс 1 '!E373</f>
        <v>81.547000000000011</v>
      </c>
      <c r="E32" s="23">
        <f>'Комплекс 1 '!F373</f>
        <v>141.63399999999999</v>
      </c>
      <c r="F32" s="23">
        <f>'Комплекс 1 '!G373</f>
        <v>1518.6379999999999</v>
      </c>
    </row>
    <row r="33" spans="1:6">
      <c r="A33" s="37"/>
      <c r="B33" s="37">
        <v>14</v>
      </c>
      <c r="C33" s="23">
        <f>'Комплекс 1 '!D402</f>
        <v>59.025999999999996</v>
      </c>
      <c r="D33" s="23">
        <f>'Комплекс 1 '!E402</f>
        <v>64.14200000000001</v>
      </c>
      <c r="E33" s="23">
        <f>'Комплекс 1 '!F402</f>
        <v>208.953</v>
      </c>
      <c r="F33" s="23">
        <f>'Комплекс 1 '!G402</f>
        <v>1677.9259999999999</v>
      </c>
    </row>
    <row r="34" spans="1:6">
      <c r="A34" s="37"/>
      <c r="B34" s="37">
        <v>15</v>
      </c>
      <c r="C34" s="23">
        <f>'Комплекс 1 '!D427</f>
        <v>64.086999999999989</v>
      </c>
      <c r="D34" s="23">
        <f>'Комплекс 1 '!E427</f>
        <v>70.010000000000005</v>
      </c>
      <c r="E34" s="23">
        <f>'Комплекс 1 '!F427</f>
        <v>171.25300000000001</v>
      </c>
      <c r="F34" s="23">
        <f>'Комплекс 1 '!G427</f>
        <v>1602.3989999999999</v>
      </c>
    </row>
    <row r="35" spans="1:6" hidden="1">
      <c r="A35" s="37"/>
      <c r="B35" s="37">
        <v>18</v>
      </c>
      <c r="C35" s="23" t="e">
        <f>'Комплекс 1 '!#REF!</f>
        <v>#REF!</v>
      </c>
      <c r="D35" s="23" t="e">
        <f>'Комплекс 1 '!#REF!</f>
        <v>#REF!</v>
      </c>
      <c r="E35" s="23" t="e">
        <f>'Комплекс 1 '!#REF!</f>
        <v>#REF!</v>
      </c>
      <c r="F35" s="23" t="e">
        <f>'Комплекс 1 '!#REF!</f>
        <v>#REF!</v>
      </c>
    </row>
    <row r="36" spans="1:6">
      <c r="A36" s="37" t="s">
        <v>38</v>
      </c>
      <c r="B36" s="37"/>
      <c r="C36" s="39">
        <f t="shared" ref="C36:E36" si="4">SUM(C30:C34)</f>
        <v>276.14799999999997</v>
      </c>
      <c r="D36" s="39">
        <f t="shared" si="4"/>
        <v>323.99799999999999</v>
      </c>
      <c r="E36" s="39">
        <f t="shared" si="4"/>
        <v>921.21400000000006</v>
      </c>
      <c r="F36" s="39">
        <f>SUM(F30:F34)</f>
        <v>7836.927099999999</v>
      </c>
    </row>
    <row r="37" spans="1:6" ht="15">
      <c r="A37" s="37" t="s">
        <v>39</v>
      </c>
      <c r="B37" s="37"/>
      <c r="C37" s="50">
        <f t="shared" ref="C37:E37" si="5">C36/5</f>
        <v>55.229599999999991</v>
      </c>
      <c r="D37" s="50">
        <f t="shared" si="5"/>
        <v>64.799599999999998</v>
      </c>
      <c r="E37" s="50">
        <f t="shared" si="5"/>
        <v>184.24280000000002</v>
      </c>
      <c r="F37" s="22">
        <f>F36/5</f>
        <v>1567.3854199999998</v>
      </c>
    </row>
    <row r="38" spans="1:6">
      <c r="A38" s="3" t="s">
        <v>157</v>
      </c>
      <c r="B38" s="3"/>
      <c r="C38" s="5"/>
      <c r="D38" s="5"/>
      <c r="E38" s="5"/>
      <c r="F38" s="5"/>
    </row>
    <row r="39" spans="1:6">
      <c r="A39" s="3" t="s">
        <v>158</v>
      </c>
      <c r="B39" s="3"/>
      <c r="C39" s="5"/>
      <c r="D39" s="5"/>
      <c r="E39" s="5"/>
      <c r="F39" s="5"/>
    </row>
    <row r="40" spans="1:6">
      <c r="A40" s="175" t="s">
        <v>68</v>
      </c>
      <c r="B40" s="176"/>
      <c r="C40" s="4"/>
      <c r="D40" s="4"/>
      <c r="E40" s="4"/>
      <c r="F40" s="5"/>
    </row>
    <row r="41" spans="1:6">
      <c r="A41" s="37" t="s">
        <v>40</v>
      </c>
      <c r="B41" s="37"/>
      <c r="C41" s="23">
        <f>C37/C37</f>
        <v>1</v>
      </c>
      <c r="D41" s="23">
        <f>D37/C37</f>
        <v>1.1732766487535671</v>
      </c>
      <c r="E41" s="23">
        <f>E37/C37</f>
        <v>3.3359430450338232</v>
      </c>
      <c r="F41" s="39"/>
    </row>
    <row r="42" spans="1:6">
      <c r="A42" s="37" t="s">
        <v>43</v>
      </c>
      <c r="B42" s="37">
        <v>16</v>
      </c>
      <c r="C42" s="23">
        <f>'Комплекс 1 '!D455</f>
        <v>51.844999999999999</v>
      </c>
      <c r="D42" s="23">
        <f>'Комплекс 1 '!E455</f>
        <v>57.334999999999994</v>
      </c>
      <c r="E42" s="23">
        <f>'Комплекс 1 '!F455</f>
        <v>222.947</v>
      </c>
      <c r="F42" s="23">
        <f>'Комплекс 1 '!G455</f>
        <v>1630.326</v>
      </c>
    </row>
    <row r="43" spans="1:6">
      <c r="A43" s="37"/>
      <c r="B43" s="37">
        <v>17</v>
      </c>
      <c r="C43" s="23">
        <f>'Комплекс 1 '!D483</f>
        <v>63.822999999999993</v>
      </c>
      <c r="D43" s="23">
        <f>'Комплекс 1 '!E483</f>
        <v>61.100999999999999</v>
      </c>
      <c r="E43" s="23">
        <f>'Комплекс 1 '!F483</f>
        <v>218.02500000000001</v>
      </c>
      <c r="F43" s="23">
        <f>'Комплекс 1 '!G483</f>
        <v>1710.0535999999997</v>
      </c>
    </row>
    <row r="44" spans="1:6">
      <c r="A44" s="37"/>
      <c r="B44" s="37">
        <v>18</v>
      </c>
      <c r="C44" s="23">
        <f>'Комплекс 1 '!D511</f>
        <v>54.677499999999995</v>
      </c>
      <c r="D44" s="23">
        <f>'Комплекс 1 '!E511</f>
        <v>59.903999999999996</v>
      </c>
      <c r="E44" s="23">
        <f>'Комплекс 1 '!F511</f>
        <v>188.27599999999998</v>
      </c>
      <c r="F44" s="23">
        <f>'Комплекс 1 '!G511</f>
        <v>1577.3905</v>
      </c>
    </row>
    <row r="45" spans="1:6">
      <c r="A45" s="37"/>
      <c r="B45" s="37">
        <v>19</v>
      </c>
      <c r="C45" s="23">
        <f>'Комплекс 1 '!D540</f>
        <v>52.598999999999997</v>
      </c>
      <c r="D45" s="23">
        <f>'Комплекс 1 '!E540</f>
        <v>55.194000000000003</v>
      </c>
      <c r="E45" s="23">
        <f>'Комплекс 1 '!F540</f>
        <v>174.44</v>
      </c>
      <c r="F45" s="23">
        <f>'Комплекс 1 '!G540</f>
        <v>1383.2579999999998</v>
      </c>
    </row>
    <row r="46" spans="1:6">
      <c r="A46" s="37"/>
      <c r="B46" s="37">
        <v>20</v>
      </c>
      <c r="C46" s="23">
        <f>'Комплекс 1 '!D567</f>
        <v>52.402000000000001</v>
      </c>
      <c r="D46" s="23">
        <f>'Комплекс 1 '!E567</f>
        <v>56.866</v>
      </c>
      <c r="E46" s="23">
        <f>'Комплекс 1 '!F567</f>
        <v>185.76999999999998</v>
      </c>
      <c r="F46" s="23">
        <f>'Комплекс 1 '!G567</f>
        <v>1484.5740000000001</v>
      </c>
    </row>
    <row r="47" spans="1:6" hidden="1">
      <c r="A47" s="37"/>
      <c r="B47" s="37">
        <v>24</v>
      </c>
      <c r="C47" s="23" t="e">
        <f>'Комплекс 1 '!#REF!</f>
        <v>#REF!</v>
      </c>
      <c r="D47" s="23" t="e">
        <f>'Комплекс 1 '!#REF!</f>
        <v>#REF!</v>
      </c>
      <c r="E47" s="23" t="e">
        <f>'Комплекс 1 '!#REF!</f>
        <v>#REF!</v>
      </c>
      <c r="F47" s="23" t="e">
        <f>'Комплекс 1 '!#REF!</f>
        <v>#REF!</v>
      </c>
    </row>
    <row r="48" spans="1:6">
      <c r="A48" s="37" t="s">
        <v>38</v>
      </c>
      <c r="B48" s="37"/>
      <c r="C48" s="39">
        <f t="shared" ref="C48:E48" si="6">SUM(C42:C46)</f>
        <v>275.34649999999999</v>
      </c>
      <c r="D48" s="39">
        <f t="shared" si="6"/>
        <v>290.39999999999998</v>
      </c>
      <c r="E48" s="39">
        <f t="shared" si="6"/>
        <v>989.45799999999986</v>
      </c>
      <c r="F48" s="39">
        <f>SUM(F42:F46)</f>
        <v>7785.6021000000001</v>
      </c>
    </row>
    <row r="49" spans="1:6">
      <c r="A49" s="37" t="s">
        <v>39</v>
      </c>
      <c r="B49" s="37"/>
      <c r="C49" s="44">
        <f t="shared" ref="C49:E49" si="7">C48/5</f>
        <v>55.069299999999998</v>
      </c>
      <c r="D49" s="44">
        <f t="shared" si="7"/>
        <v>58.08</v>
      </c>
      <c r="E49" s="51">
        <f t="shared" si="7"/>
        <v>197.89159999999998</v>
      </c>
      <c r="F49" s="44">
        <f>F48/5</f>
        <v>1557.12042</v>
      </c>
    </row>
    <row r="50" spans="1:6">
      <c r="A50" s="3" t="s">
        <v>157</v>
      </c>
      <c r="B50" s="3"/>
      <c r="C50" s="5"/>
      <c r="D50" s="5"/>
      <c r="E50" s="5"/>
      <c r="F50" s="5"/>
    </row>
    <row r="51" spans="1:6">
      <c r="A51" s="3" t="s">
        <v>158</v>
      </c>
      <c r="B51" s="3"/>
      <c r="C51" s="5"/>
      <c r="D51" s="5"/>
      <c r="E51" s="5"/>
      <c r="F51" s="5"/>
    </row>
    <row r="52" spans="1:6">
      <c r="A52" s="175" t="s">
        <v>68</v>
      </c>
      <c r="B52" s="176"/>
      <c r="C52" s="4"/>
      <c r="D52" s="4"/>
      <c r="E52" s="4"/>
      <c r="F52" s="5"/>
    </row>
    <row r="53" spans="1:6">
      <c r="A53" s="37" t="s">
        <v>40</v>
      </c>
      <c r="B53" s="37"/>
      <c r="C53" s="23">
        <f>C49/C49</f>
        <v>1</v>
      </c>
      <c r="D53" s="23">
        <f>D49/C49</f>
        <v>1.0546711143958611</v>
      </c>
      <c r="E53" s="23">
        <f>E49/C49</f>
        <v>3.5935012792971763</v>
      </c>
      <c r="F53" s="39"/>
    </row>
    <row r="54" spans="1:6">
      <c r="A54" s="37" t="s">
        <v>44</v>
      </c>
      <c r="B54" s="37"/>
      <c r="C54" s="52">
        <f t="shared" ref="C54:F54" si="8">(C12+C24+C36+C48)/20</f>
        <v>57.647424999999998</v>
      </c>
      <c r="D54" s="39">
        <f t="shared" si="8"/>
        <v>64.529025000000004</v>
      </c>
      <c r="E54" s="52">
        <f t="shared" si="8"/>
        <v>199.77932499999997</v>
      </c>
      <c r="F54" s="39">
        <f t="shared" si="8"/>
        <v>1640.1997649999998</v>
      </c>
    </row>
    <row r="55" spans="1:6" ht="15" hidden="1">
      <c r="A55" s="37"/>
      <c r="B55" s="37"/>
      <c r="C55" s="23">
        <f>C54/24</f>
        <v>2.4019760416666665</v>
      </c>
      <c r="D55" s="21">
        <f t="shared" ref="D55:E55" si="9">D54/24</f>
        <v>2.6887093750000002</v>
      </c>
      <c r="E55" s="21">
        <f t="shared" si="9"/>
        <v>8.3241385416666649</v>
      </c>
      <c r="F55" s="39">
        <f>F54/24</f>
        <v>68.341656874999998</v>
      </c>
    </row>
    <row r="56" spans="1:6">
      <c r="A56" s="3" t="s">
        <v>157</v>
      </c>
      <c r="B56" s="3"/>
      <c r="C56" s="5"/>
      <c r="D56" s="5"/>
      <c r="E56" s="5"/>
      <c r="F56" s="5"/>
    </row>
    <row r="57" spans="1:6">
      <c r="A57" s="3" t="s">
        <v>158</v>
      </c>
      <c r="B57" s="3"/>
      <c r="C57" s="5"/>
      <c r="D57" s="5"/>
      <c r="E57" s="5"/>
      <c r="F57" s="5"/>
    </row>
    <row r="58" spans="1:6">
      <c r="A58" s="175" t="s">
        <v>68</v>
      </c>
      <c r="B58" s="176"/>
      <c r="C58" s="4"/>
      <c r="D58" s="4"/>
      <c r="E58" s="4"/>
      <c r="F58" s="5"/>
    </row>
    <row r="59" spans="1:6">
      <c r="A59" s="37" t="s">
        <v>40</v>
      </c>
      <c r="B59" s="37"/>
      <c r="C59" s="23">
        <f>C54/C54</f>
        <v>1</v>
      </c>
      <c r="D59" s="23">
        <f>D54/C54</f>
        <v>1.1193739356094397</v>
      </c>
      <c r="E59" s="23">
        <f>E54/C54</f>
        <v>3.4655377061507946</v>
      </c>
      <c r="F59" s="39"/>
    </row>
  </sheetData>
  <mergeCells count="5">
    <mergeCell ref="A16:B16"/>
    <mergeCell ref="A28:B28"/>
    <mergeCell ref="A40:B40"/>
    <mergeCell ref="A52:B52"/>
    <mergeCell ref="A58:B58"/>
  </mergeCells>
  <pageMargins left="0.7" right="0.7" top="0.75" bottom="0.75" header="0.3" footer="0.3"/>
  <pageSetup paperSize="9" scale="9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      <selection activeCell="A2" sqref="A2:S9"/>
    </sheetView>
  </sheetViews>
  <sheetFormatPr defaultRowHeight="12.75"/>
  <sheetData/>
  <pageMargins left="0.7" right="0.7" top="0.75" bottom="0.75" header="0.3" footer="0.3"/>
  <pageSetup paperSize="9" scale="9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2:A48"/>
  <sheetViews>
    <sheetView workbookViewId="0">
      <selection activeCell="A2" sqref="A2:S15"/>
    </sheetView>
  </sheetViews>
  <sheetFormatPr defaultRowHeight="12.75"/>
  <sheetData>
    <row r="12" hidden="1"/>
    <row r="24" hidden="1"/>
    <row r="36" hidden="1"/>
    <row r="48" hidden="1"/>
  </sheetData>
  <pageMargins left="0.7" right="0.7" top="0.75" bottom="0.75" header="0.3" footer="0.3"/>
  <pageSetup paperSize="9" scale="9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Комплекс 1 </vt:lpstr>
      <vt:lpstr>Оценочная1</vt:lpstr>
      <vt:lpstr>Лист1</vt:lpstr>
      <vt:lpstr>Лист2</vt:lpstr>
      <vt:lpstr>Лист3</vt:lpstr>
      <vt:lpstr>'Комплекс 1 '!Область_печати</vt:lpstr>
    </vt:vector>
  </TitlesOfParts>
  <Company>SVA-S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u.kruk</dc:creator>
  <cp:lastModifiedBy>tarasovala</cp:lastModifiedBy>
  <cp:lastPrinted>2014-05-22T12:13:49Z</cp:lastPrinted>
  <dcterms:created xsi:type="dcterms:W3CDTF">2011-02-24T05:39:28Z</dcterms:created>
  <dcterms:modified xsi:type="dcterms:W3CDTF">2015-05-12T14:59:26Z</dcterms:modified>
</cp:coreProperties>
</file>